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emecc\Documents\"/>
    </mc:Choice>
  </mc:AlternateContent>
  <bookViews>
    <workbookView xWindow="-60" yWindow="0" windowWidth="14745" windowHeight="7515" tabRatio="954"/>
  </bookViews>
  <sheets>
    <sheet name="Table of Contents" sheetId="15" r:id="rId1"/>
    <sheet name="Data notes" sheetId="16" r:id="rId2"/>
    <sheet name="Table 2.4.3-B1" sheetId="1" r:id="rId3"/>
    <sheet name="Table 2.4.3-B2" sheetId="4" r:id="rId4"/>
    <sheet name="Table 2.4.3-B3" sheetId="5" r:id="rId5"/>
    <sheet name="Table 2.4.3-B4" sheetId="6" r:id="rId6"/>
    <sheet name="Table 2.4.3-B5" sheetId="7" r:id="rId7"/>
    <sheet name="Table 2.4.3-B6" sheetId="8" r:id="rId8"/>
    <sheet name="Table 2.4.3-B7" sheetId="9" r:id="rId9"/>
    <sheet name="Table 2.4.3-B8" sheetId="10" r:id="rId10"/>
    <sheet name="Table 2.4.3-B9" sheetId="11" r:id="rId11"/>
    <sheet name="Table 2.4.3-E1" sheetId="12" r:id="rId12"/>
    <sheet name="Table 2.4.3-C1" sheetId="13" r:id="rId13"/>
    <sheet name="Table 2.4.3-C2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calcPr calcId="162913"/>
</workbook>
</file>

<file path=xl/calcChain.xml><?xml version="1.0" encoding="utf-8"?>
<calcChain xmlns="http://schemas.openxmlformats.org/spreadsheetml/2006/main">
  <c r="X16" i="1" l="1"/>
  <c r="Y18" i="1" s="1"/>
  <c r="Y16" i="1"/>
  <c r="AA18" i="1"/>
  <c r="Y17" i="1"/>
  <c r="Z17" i="1"/>
  <c r="AA17" i="1"/>
  <c r="AB17" i="1"/>
  <c r="AC17" i="1"/>
  <c r="AD17" i="1"/>
  <c r="AB18" i="1"/>
  <c r="AC18" i="1"/>
  <c r="AD18" i="1"/>
  <c r="AA10" i="1"/>
  <c r="AB10" i="1"/>
  <c r="AC10" i="1"/>
  <c r="AA11" i="1"/>
  <c r="AB11" i="1"/>
  <c r="AC11" i="1"/>
  <c r="AA12" i="1"/>
  <c r="AB12" i="1"/>
  <c r="AC12" i="1"/>
  <c r="AA13" i="1"/>
  <c r="AB13" i="1"/>
  <c r="AC13" i="1"/>
  <c r="AA14" i="1"/>
  <c r="AB14" i="1"/>
  <c r="AC14" i="1"/>
  <c r="AC15" i="1"/>
  <c r="AD15" i="1"/>
  <c r="AD14" i="1"/>
  <c r="AD13" i="1"/>
  <c r="AD12" i="1"/>
  <c r="AD11" i="1"/>
  <c r="AD10" i="1"/>
  <c r="Z18" i="1" l="1"/>
  <c r="AA15" i="1" l="1"/>
  <c r="Y10" i="1"/>
  <c r="Y11" i="1"/>
  <c r="Y12" i="1"/>
  <c r="Y13" i="1"/>
  <c r="Y14" i="1"/>
  <c r="Z12" i="1"/>
  <c r="Z11" i="1"/>
  <c r="Z14" i="1"/>
  <c r="Z13" i="1"/>
  <c r="Z10" i="1"/>
  <c r="AB15" i="1" l="1"/>
  <c r="Z15" i="1"/>
  <c r="Z10" i="14" l="1"/>
  <c r="Z11" i="14"/>
  <c r="Z12" i="14"/>
  <c r="Z14" i="14"/>
  <c r="Z15" i="14"/>
  <c r="Z16" i="14"/>
  <c r="Z17" i="14"/>
  <c r="Z18" i="14"/>
  <c r="Z19" i="14"/>
  <c r="Z20" i="14"/>
  <c r="Z21" i="14"/>
  <c r="Y21" i="14" l="1"/>
  <c r="AA21" i="14" s="1"/>
  <c r="Y20" i="14"/>
  <c r="AA20" i="14" s="1"/>
  <c r="Y19" i="14"/>
  <c r="AA19" i="14" s="1"/>
  <c r="Y18" i="14"/>
  <c r="AA18" i="14" s="1"/>
  <c r="Y17" i="14"/>
  <c r="AA17" i="14" s="1"/>
  <c r="Y16" i="14"/>
  <c r="AA16" i="14" s="1"/>
  <c r="Y15" i="14"/>
  <c r="AA15" i="14" s="1"/>
  <c r="Y12" i="14"/>
  <c r="AA12" i="14" s="1"/>
  <c r="Y11" i="14"/>
  <c r="AA11" i="14" s="1"/>
  <c r="Y10" i="14"/>
  <c r="AA10" i="14" s="1"/>
  <c r="W20" i="13" l="1"/>
  <c r="W19" i="13"/>
  <c r="X21" i="14" l="1"/>
  <c r="X20" i="14"/>
  <c r="X19" i="14"/>
  <c r="X18" i="14"/>
  <c r="X17" i="14"/>
  <c r="X16" i="14"/>
  <c r="X15" i="14"/>
  <c r="X14" i="14"/>
  <c r="X13" i="14"/>
  <c r="X12" i="14"/>
  <c r="X11" i="14"/>
  <c r="X10" i="14"/>
  <c r="X22" i="14" l="1"/>
  <c r="W21" i="13"/>
  <c r="W18" i="13" l="1"/>
  <c r="W15" i="13" l="1"/>
  <c r="W14" i="13"/>
  <c r="W13" i="13"/>
  <c r="W12" i="13"/>
  <c r="W11" i="13"/>
  <c r="W10" i="13"/>
  <c r="W21" i="14" l="1"/>
  <c r="W20" i="14"/>
  <c r="W19" i="14"/>
  <c r="W18" i="14"/>
  <c r="W17" i="14"/>
  <c r="W16" i="14"/>
  <c r="W15" i="14"/>
  <c r="W14" i="14"/>
  <c r="W13" i="14" l="1"/>
  <c r="W12" i="14"/>
  <c r="W11" i="14"/>
  <c r="W10" i="14"/>
  <c r="W22" i="14" l="1"/>
  <c r="X23" i="14" s="1"/>
  <c r="N46" i="10"/>
  <c r="N45" i="10"/>
  <c r="N44" i="10"/>
  <c r="N42" i="10"/>
  <c r="N41" i="10"/>
  <c r="N40" i="10"/>
  <c r="N38" i="10"/>
  <c r="N37" i="10"/>
  <c r="N36" i="10"/>
  <c r="N34" i="10"/>
  <c r="N33" i="10"/>
  <c r="N32" i="10"/>
  <c r="M46" i="10"/>
  <c r="M45" i="10"/>
  <c r="M44" i="10"/>
  <c r="M42" i="10"/>
  <c r="M41" i="10"/>
  <c r="M40" i="10"/>
  <c r="M38" i="10"/>
  <c r="M37" i="10"/>
  <c r="M36" i="10"/>
  <c r="M34" i="10"/>
  <c r="M33" i="10"/>
  <c r="M32" i="10"/>
  <c r="L46" i="10"/>
  <c r="L45" i="10"/>
  <c r="L44" i="10"/>
  <c r="L42" i="10"/>
  <c r="L41" i="10"/>
  <c r="L40" i="10"/>
  <c r="L38" i="10"/>
  <c r="L37" i="10"/>
  <c r="L36" i="10"/>
  <c r="L34" i="10"/>
  <c r="L33" i="10"/>
  <c r="L32" i="10"/>
  <c r="K46" i="10"/>
  <c r="K45" i="10"/>
  <c r="K44" i="10"/>
  <c r="K42" i="10"/>
  <c r="K41" i="10"/>
  <c r="K40" i="10"/>
  <c r="K38" i="10"/>
  <c r="K37" i="10"/>
  <c r="K36" i="10"/>
  <c r="K34" i="10"/>
  <c r="K33" i="10"/>
  <c r="K32" i="10"/>
  <c r="J46" i="10"/>
  <c r="J45" i="10"/>
  <c r="J44" i="10"/>
  <c r="J42" i="10"/>
  <c r="J41" i="10"/>
  <c r="J40" i="10"/>
  <c r="J38" i="10"/>
  <c r="J37" i="10"/>
  <c r="J36" i="10"/>
  <c r="J34" i="10"/>
  <c r="J33" i="10"/>
  <c r="J32" i="10"/>
  <c r="I46" i="10"/>
  <c r="I45" i="10"/>
  <c r="I44" i="10"/>
  <c r="I42" i="10"/>
  <c r="I41" i="10"/>
  <c r="I40" i="10"/>
  <c r="I38" i="10"/>
  <c r="I37" i="10"/>
  <c r="I36" i="10"/>
  <c r="I34" i="10"/>
  <c r="I33" i="10"/>
  <c r="I32" i="10"/>
  <c r="G46" i="10"/>
  <c r="G45" i="10"/>
  <c r="G44" i="10"/>
  <c r="G42" i="10"/>
  <c r="G41" i="10"/>
  <c r="G40" i="10"/>
  <c r="G38" i="10"/>
  <c r="G37" i="10"/>
  <c r="G36" i="10"/>
  <c r="G34" i="10"/>
  <c r="G33" i="10"/>
  <c r="G32" i="10"/>
  <c r="H46" i="10"/>
  <c r="H45" i="10"/>
  <c r="H44" i="10"/>
  <c r="H42" i="10"/>
  <c r="H41" i="10"/>
  <c r="H40" i="10"/>
  <c r="H38" i="10"/>
  <c r="H37" i="10"/>
  <c r="H36" i="10"/>
  <c r="H34" i="10"/>
  <c r="H33" i="10"/>
  <c r="H32" i="10"/>
  <c r="E46" i="10"/>
  <c r="E45" i="10"/>
  <c r="E44" i="10"/>
  <c r="E42" i="10"/>
  <c r="E41" i="10"/>
  <c r="E40" i="10"/>
  <c r="E38" i="10"/>
  <c r="E37" i="10"/>
  <c r="E36" i="10"/>
  <c r="E34" i="10"/>
  <c r="E33" i="10"/>
  <c r="E32" i="10"/>
  <c r="F46" i="10"/>
  <c r="F45" i="10"/>
  <c r="F44" i="10"/>
  <c r="F42" i="10"/>
  <c r="F41" i="10"/>
  <c r="F40" i="10"/>
  <c r="F38" i="10"/>
  <c r="F37" i="10"/>
  <c r="F36" i="10"/>
  <c r="F34" i="10"/>
  <c r="F33" i="10"/>
  <c r="F32" i="10"/>
  <c r="D46" i="10"/>
  <c r="D45" i="10"/>
  <c r="D44" i="10"/>
  <c r="D42" i="10"/>
  <c r="D41" i="10"/>
  <c r="D40" i="10"/>
  <c r="D38" i="10"/>
  <c r="D37" i="10"/>
  <c r="D36" i="10"/>
  <c r="C46" i="10"/>
  <c r="C45" i="10"/>
  <c r="C44" i="10"/>
  <c r="C42" i="10"/>
  <c r="C41" i="10"/>
  <c r="C40" i="10"/>
  <c r="C38" i="10"/>
  <c r="C37" i="10"/>
  <c r="C36" i="10"/>
  <c r="C34" i="10"/>
  <c r="C33" i="10"/>
  <c r="C32" i="10"/>
  <c r="D34" i="10"/>
  <c r="D33" i="10"/>
  <c r="D32" i="10"/>
  <c r="N27" i="10"/>
  <c r="N26" i="10"/>
  <c r="N25" i="10"/>
  <c r="N23" i="10"/>
  <c r="N22" i="10"/>
  <c r="N21" i="10"/>
  <c r="N19" i="10"/>
  <c r="N18" i="10"/>
  <c r="N17" i="10"/>
  <c r="N15" i="10"/>
  <c r="N14" i="10"/>
  <c r="N13" i="10"/>
  <c r="M27" i="10"/>
  <c r="M26" i="10"/>
  <c r="M25" i="10"/>
  <c r="M23" i="10"/>
  <c r="M22" i="10"/>
  <c r="M21" i="10"/>
  <c r="M19" i="10"/>
  <c r="M18" i="10"/>
  <c r="M17" i="10"/>
  <c r="M15" i="10"/>
  <c r="M14" i="10"/>
  <c r="M13" i="10"/>
  <c r="L27" i="10"/>
  <c r="L26" i="10"/>
  <c r="L25" i="10"/>
  <c r="L23" i="10"/>
  <c r="L22" i="10"/>
  <c r="L21" i="10"/>
  <c r="L19" i="10"/>
  <c r="L18" i="10"/>
  <c r="L17" i="10"/>
  <c r="L15" i="10"/>
  <c r="L14" i="10"/>
  <c r="L13" i="10"/>
  <c r="K19" i="10"/>
  <c r="K18" i="10"/>
  <c r="K17" i="10"/>
  <c r="K15" i="10"/>
  <c r="K14" i="10"/>
  <c r="K13" i="10"/>
  <c r="K27" i="10"/>
  <c r="K26" i="10"/>
  <c r="K25" i="10"/>
  <c r="K23" i="10"/>
  <c r="K22" i="10"/>
  <c r="K21" i="10"/>
  <c r="J27" i="10"/>
  <c r="J26" i="10"/>
  <c r="J25" i="10"/>
  <c r="J23" i="10"/>
  <c r="J22" i="10"/>
  <c r="J21" i="10"/>
  <c r="J19" i="10"/>
  <c r="J18" i="10"/>
  <c r="J17" i="10"/>
  <c r="I27" i="10"/>
  <c r="I26" i="10"/>
  <c r="I25" i="10"/>
  <c r="I23" i="10"/>
  <c r="I22" i="10"/>
  <c r="I21" i="10"/>
  <c r="I19" i="10"/>
  <c r="I18" i="10"/>
  <c r="I17" i="10"/>
  <c r="H27" i="10"/>
  <c r="H26" i="10"/>
  <c r="H25" i="10"/>
  <c r="H23" i="10"/>
  <c r="H22" i="10"/>
  <c r="H21" i="10"/>
  <c r="H19" i="10"/>
  <c r="H18" i="10"/>
  <c r="H17" i="10"/>
  <c r="G27" i="10"/>
  <c r="G26" i="10"/>
  <c r="G25" i="10"/>
  <c r="G23" i="10"/>
  <c r="G22" i="10"/>
  <c r="G21" i="10"/>
  <c r="G19" i="10"/>
  <c r="G18" i="10"/>
  <c r="G17" i="10"/>
  <c r="G15" i="10"/>
  <c r="G14" i="10"/>
  <c r="G13" i="10"/>
  <c r="E27" i="10"/>
  <c r="E26" i="10"/>
  <c r="E25" i="10"/>
  <c r="E23" i="10"/>
  <c r="E22" i="10"/>
  <c r="E21" i="10"/>
  <c r="E19" i="10"/>
  <c r="E18" i="10"/>
  <c r="E17" i="10"/>
  <c r="F27" i="10"/>
  <c r="F26" i="10"/>
  <c r="F25" i="10"/>
  <c r="F23" i="10"/>
  <c r="F22" i="10"/>
  <c r="F21" i="10"/>
  <c r="F19" i="10"/>
  <c r="F18" i="10"/>
  <c r="F17" i="10"/>
  <c r="D27" i="10"/>
  <c r="D26" i="10"/>
  <c r="D25" i="10"/>
  <c r="C27" i="10"/>
  <c r="C26" i="10"/>
  <c r="C25" i="10"/>
  <c r="D23" i="10"/>
  <c r="D22" i="10"/>
  <c r="D21" i="10"/>
  <c r="C23" i="10"/>
  <c r="C22" i="10"/>
  <c r="C21" i="10"/>
  <c r="D19" i="10"/>
  <c r="C19" i="10"/>
  <c r="C18" i="10"/>
  <c r="C17" i="10"/>
  <c r="D18" i="10"/>
  <c r="D17" i="10"/>
  <c r="O15" i="10"/>
  <c r="O14" i="10"/>
  <c r="O13" i="10"/>
  <c r="J15" i="10"/>
  <c r="J14" i="10"/>
  <c r="J13" i="10"/>
  <c r="I15" i="10"/>
  <c r="I14" i="10"/>
  <c r="I13" i="10"/>
  <c r="H15" i="10"/>
  <c r="H14" i="10"/>
  <c r="H13" i="10"/>
  <c r="F15" i="10"/>
  <c r="F14" i="10"/>
  <c r="F13" i="10"/>
  <c r="E15" i="10"/>
  <c r="E14" i="10"/>
  <c r="E13" i="10"/>
  <c r="C15" i="10"/>
  <c r="C14" i="10"/>
  <c r="C13" i="10"/>
  <c r="D15" i="10"/>
  <c r="D14" i="10"/>
  <c r="D13" i="10"/>
  <c r="L35" i="10" l="1"/>
  <c r="L47" i="10"/>
  <c r="L43" i="10"/>
  <c r="C47" i="10"/>
  <c r="E35" i="10"/>
  <c r="G35" i="10"/>
  <c r="K47" i="10"/>
  <c r="M47" i="10"/>
  <c r="I39" i="10"/>
  <c r="D35" i="10"/>
  <c r="F35" i="10"/>
  <c r="H35" i="10"/>
  <c r="L39" i="10"/>
  <c r="C39" i="10"/>
  <c r="F43" i="10"/>
  <c r="G43" i="10"/>
  <c r="C35" i="10"/>
  <c r="D39" i="10"/>
  <c r="D43" i="10"/>
  <c r="F39" i="10"/>
  <c r="F47" i="10"/>
  <c r="E39" i="10"/>
  <c r="E43" i="10"/>
  <c r="H39" i="10"/>
  <c r="H43" i="10"/>
  <c r="G39" i="10"/>
  <c r="G47" i="10"/>
  <c r="C43" i="10"/>
  <c r="D47" i="10"/>
  <c r="E47" i="10"/>
  <c r="H47" i="10"/>
  <c r="N43" i="10"/>
  <c r="I43" i="10"/>
  <c r="K35" i="10"/>
  <c r="K39" i="10"/>
  <c r="K43" i="10"/>
  <c r="I47" i="10"/>
  <c r="M39" i="10"/>
  <c r="N47" i="10"/>
  <c r="N39" i="10"/>
  <c r="N35" i="10"/>
  <c r="M43" i="10"/>
  <c r="M35" i="10"/>
  <c r="J47" i="10"/>
  <c r="J43" i="10"/>
  <c r="J39" i="10"/>
  <c r="J35" i="10"/>
  <c r="I35" i="10"/>
  <c r="V21" i="14"/>
  <c r="V21" i="13"/>
  <c r="X21" i="13" s="1"/>
  <c r="C48" i="10" l="1"/>
  <c r="P41" i="11"/>
  <c r="O34" i="11"/>
  <c r="P47" i="11"/>
  <c r="P36" i="11"/>
  <c r="P32" i="11"/>
  <c r="P46" i="11"/>
  <c r="P45" i="11"/>
  <c r="P44" i="11"/>
  <c r="P42" i="11"/>
  <c r="P40" i="11"/>
  <c r="P38" i="11"/>
  <c r="P37" i="11"/>
  <c r="P34" i="11"/>
  <c r="P33" i="11"/>
  <c r="O46" i="11"/>
  <c r="O45" i="11"/>
  <c r="O44" i="11"/>
  <c r="O42" i="11"/>
  <c r="O41" i="11"/>
  <c r="O40" i="11"/>
  <c r="O38" i="11"/>
  <c r="O37" i="11"/>
  <c r="O36" i="11"/>
  <c r="O33" i="11"/>
  <c r="O32" i="11"/>
  <c r="N46" i="11"/>
  <c r="N45" i="11"/>
  <c r="N44" i="11"/>
  <c r="N42" i="11"/>
  <c r="N41" i="11"/>
  <c r="N40" i="11"/>
  <c r="N38" i="11"/>
  <c r="N37" i="11"/>
  <c r="N36" i="11"/>
  <c r="N34" i="11"/>
  <c r="N33" i="11"/>
  <c r="N32" i="11"/>
  <c r="M46" i="11"/>
  <c r="M45" i="11"/>
  <c r="M44" i="11"/>
  <c r="M42" i="11"/>
  <c r="M41" i="11"/>
  <c r="M40" i="11"/>
  <c r="M38" i="11"/>
  <c r="M37" i="11"/>
  <c r="M36" i="11"/>
  <c r="M34" i="11"/>
  <c r="M33" i="11"/>
  <c r="M32" i="11"/>
  <c r="L46" i="11"/>
  <c r="L45" i="11"/>
  <c r="L44" i="11"/>
  <c r="L42" i="11"/>
  <c r="L41" i="11"/>
  <c r="L40" i="11"/>
  <c r="L38" i="11"/>
  <c r="L37" i="11"/>
  <c r="L36" i="11"/>
  <c r="L34" i="11"/>
  <c r="L33" i="11"/>
  <c r="L32" i="11"/>
  <c r="K46" i="11"/>
  <c r="K45" i="11"/>
  <c r="K44" i="11"/>
  <c r="K42" i="11"/>
  <c r="K41" i="11"/>
  <c r="K40" i="11"/>
  <c r="K38" i="11"/>
  <c r="K37" i="11"/>
  <c r="K36" i="11"/>
  <c r="K34" i="11"/>
  <c r="K33" i="11"/>
  <c r="K32" i="11"/>
  <c r="J46" i="11"/>
  <c r="J45" i="11"/>
  <c r="J44" i="11"/>
  <c r="J42" i="11"/>
  <c r="J41" i="11"/>
  <c r="J40" i="11"/>
  <c r="J38" i="11"/>
  <c r="J37" i="11"/>
  <c r="J36" i="11"/>
  <c r="J34" i="11"/>
  <c r="J33" i="11"/>
  <c r="J32" i="11"/>
  <c r="I46" i="11"/>
  <c r="I45" i="11"/>
  <c r="I44" i="11"/>
  <c r="I42" i="11"/>
  <c r="I41" i="11"/>
  <c r="I40" i="11"/>
  <c r="I38" i="11"/>
  <c r="I37" i="11"/>
  <c r="I36" i="11"/>
  <c r="I34" i="11"/>
  <c r="I33" i="11"/>
  <c r="I32" i="11"/>
  <c r="H46" i="11"/>
  <c r="H45" i="11"/>
  <c r="H44" i="11"/>
  <c r="H42" i="11"/>
  <c r="H41" i="11"/>
  <c r="H40" i="11"/>
  <c r="H38" i="11"/>
  <c r="H37" i="11"/>
  <c r="H36" i="11"/>
  <c r="H34" i="11"/>
  <c r="H33" i="11"/>
  <c r="H32" i="11"/>
  <c r="G46" i="11"/>
  <c r="G45" i="11"/>
  <c r="G44" i="11"/>
  <c r="G42" i="11"/>
  <c r="G41" i="11"/>
  <c r="G40" i="11"/>
  <c r="G38" i="11"/>
  <c r="G37" i="11"/>
  <c r="G36" i="11"/>
  <c r="G34" i="11"/>
  <c r="G33" i="11"/>
  <c r="G32" i="11"/>
  <c r="F46" i="11"/>
  <c r="F45" i="11"/>
  <c r="F44" i="11"/>
  <c r="F42" i="11"/>
  <c r="F41" i="11"/>
  <c r="F40" i="11"/>
  <c r="F38" i="11"/>
  <c r="F37" i="11"/>
  <c r="F36" i="11"/>
  <c r="F34" i="11"/>
  <c r="F33" i="11"/>
  <c r="F32" i="11"/>
  <c r="E46" i="11"/>
  <c r="E45" i="11"/>
  <c r="E44" i="11"/>
  <c r="E42" i="11"/>
  <c r="E41" i="11"/>
  <c r="E40" i="11"/>
  <c r="E38" i="11"/>
  <c r="E37" i="11"/>
  <c r="E36" i="11"/>
  <c r="E34" i="11"/>
  <c r="E33" i="11"/>
  <c r="E32" i="11"/>
  <c r="D46" i="11"/>
  <c r="D45" i="11"/>
  <c r="D44" i="11"/>
  <c r="D42" i="11"/>
  <c r="D41" i="11"/>
  <c r="D40" i="11"/>
  <c r="D38" i="11"/>
  <c r="D37" i="11"/>
  <c r="D36" i="11"/>
  <c r="D34" i="11"/>
  <c r="D33" i="11"/>
  <c r="D32" i="11"/>
  <c r="C46" i="11"/>
  <c r="C45" i="11"/>
  <c r="C44" i="11"/>
  <c r="C42" i="11"/>
  <c r="C41" i="11"/>
  <c r="C40" i="11"/>
  <c r="C38" i="11"/>
  <c r="C37" i="11"/>
  <c r="C36" i="11"/>
  <c r="C34" i="11"/>
  <c r="C33" i="11"/>
  <c r="C32" i="11"/>
  <c r="O39" i="11" l="1"/>
  <c r="E47" i="11"/>
  <c r="G39" i="11"/>
  <c r="G47" i="11"/>
  <c r="H43" i="11"/>
  <c r="M39" i="11"/>
  <c r="M43" i="11"/>
  <c r="N39" i="11"/>
  <c r="C35" i="11"/>
  <c r="H35" i="11"/>
  <c r="J35" i="11"/>
  <c r="N35" i="11"/>
  <c r="D47" i="11"/>
  <c r="C43" i="11"/>
  <c r="I43" i="11"/>
  <c r="K35" i="11"/>
  <c r="K47" i="11"/>
  <c r="L43" i="11"/>
  <c r="N43" i="11"/>
  <c r="K39" i="11"/>
  <c r="D39" i="11"/>
  <c r="E43" i="11"/>
  <c r="M47" i="11"/>
  <c r="C47" i="11"/>
  <c r="D43" i="11"/>
  <c r="F35" i="11"/>
  <c r="C39" i="11"/>
  <c r="L39" i="11"/>
  <c r="G43" i="11"/>
  <c r="I47" i="11"/>
  <c r="M35" i="11"/>
  <c r="N47" i="11"/>
  <c r="D35" i="11"/>
  <c r="E35" i="11"/>
  <c r="F39" i="11"/>
  <c r="F43" i="11"/>
  <c r="G35" i="11"/>
  <c r="J43" i="11"/>
  <c r="O43" i="11"/>
  <c r="P39" i="11"/>
  <c r="E39" i="11"/>
  <c r="F47" i="11"/>
  <c r="H39" i="11"/>
  <c r="H47" i="11"/>
  <c r="I35" i="11"/>
  <c r="I39" i="11"/>
  <c r="J39" i="11"/>
  <c r="J47" i="11"/>
  <c r="L35" i="11"/>
  <c r="O35" i="11"/>
  <c r="P35" i="11"/>
  <c r="P43" i="11"/>
  <c r="O47" i="11"/>
  <c r="L47" i="11"/>
  <c r="K43" i="11"/>
  <c r="V20" i="14" l="1"/>
  <c r="V19" i="14"/>
  <c r="V18" i="14"/>
  <c r="V17" i="14"/>
  <c r="V16" i="14"/>
  <c r="V15" i="14"/>
  <c r="V14" i="14"/>
  <c r="V20" i="13"/>
  <c r="X20" i="13" s="1"/>
  <c r="V19" i="13"/>
  <c r="X19" i="13" s="1"/>
  <c r="V18" i="13"/>
  <c r="X18" i="13" s="1"/>
  <c r="V17" i="13"/>
  <c r="V16" i="13"/>
  <c r="V15" i="13"/>
  <c r="X15" i="13" s="1"/>
  <c r="V14" i="13"/>
  <c r="X14" i="13" s="1"/>
  <c r="L48" i="11" l="1"/>
  <c r="K48" i="11"/>
  <c r="G48" i="11"/>
  <c r="D48" i="11"/>
  <c r="C48" i="11"/>
  <c r="P48" i="11"/>
  <c r="N48" i="11"/>
  <c r="M48" i="11"/>
  <c r="J48" i="11"/>
  <c r="I48" i="11"/>
  <c r="H48" i="11"/>
  <c r="F48" i="11"/>
  <c r="E48" i="11"/>
  <c r="Y15" i="1" l="1"/>
  <c r="O48" i="11"/>
  <c r="V11" i="13"/>
  <c r="X11" i="13" s="1"/>
  <c r="V12" i="13"/>
  <c r="X12" i="13" s="1"/>
  <c r="V13" i="13"/>
  <c r="X13" i="13" s="1"/>
  <c r="V10" i="13"/>
  <c r="X10" i="13" s="1"/>
  <c r="V11" i="14"/>
  <c r="V12" i="14"/>
  <c r="V13" i="14"/>
  <c r="V10" i="14"/>
  <c r="U10" i="14"/>
  <c r="V22" i="13" l="1"/>
  <c r="V22" i="14"/>
  <c r="W23" i="14" s="1"/>
  <c r="U20" i="13"/>
  <c r="U18" i="13"/>
  <c r="U17" i="13"/>
  <c r="C21" i="15" l="1"/>
  <c r="C20" i="15"/>
  <c r="C19" i="15"/>
  <c r="C18" i="15"/>
  <c r="C17" i="15"/>
  <c r="C16" i="15"/>
  <c r="C15" i="15"/>
  <c r="C14" i="15"/>
  <c r="C13" i="15"/>
  <c r="C12" i="15"/>
  <c r="C11" i="15"/>
  <c r="C10" i="15"/>
  <c r="B2" i="16"/>
  <c r="U11" i="14" l="1"/>
  <c r="U12" i="14"/>
  <c r="U13" i="14"/>
  <c r="U14" i="14"/>
  <c r="U15" i="14"/>
  <c r="U16" i="14"/>
  <c r="U17" i="14"/>
  <c r="U18" i="14"/>
  <c r="U19" i="13"/>
  <c r="U21" i="13"/>
  <c r="U11" i="13"/>
  <c r="U12" i="13"/>
  <c r="U13" i="13"/>
  <c r="U14" i="13"/>
  <c r="U15" i="13"/>
  <c r="U16" i="13"/>
  <c r="U10" i="13"/>
  <c r="U22" i="13" l="1"/>
  <c r="V23" i="13" s="1"/>
  <c r="H15" i="1" l="1"/>
  <c r="E18" i="1"/>
  <c r="C15" i="1"/>
  <c r="D15" i="1"/>
  <c r="E15" i="1"/>
  <c r="I15" i="1"/>
  <c r="F15" i="1"/>
  <c r="D17" i="1" l="1"/>
  <c r="E17" i="1"/>
  <c r="N27" i="8"/>
  <c r="M27" i="8"/>
  <c r="N26" i="8"/>
  <c r="M26" i="8"/>
  <c r="N25" i="8"/>
  <c r="M25" i="8"/>
  <c r="L27" i="8"/>
  <c r="K27" i="8"/>
  <c r="L26" i="8"/>
  <c r="K26" i="8"/>
  <c r="L25" i="8"/>
  <c r="K25" i="8"/>
  <c r="N23" i="8"/>
  <c r="M23" i="8"/>
  <c r="N22" i="8"/>
  <c r="M22" i="8"/>
  <c r="N21" i="8"/>
  <c r="M21" i="8"/>
  <c r="N19" i="8"/>
  <c r="M19" i="8"/>
  <c r="N18" i="8"/>
  <c r="M18" i="8"/>
  <c r="N17" i="8"/>
  <c r="M17" i="8"/>
  <c r="L23" i="8"/>
  <c r="K23" i="8"/>
  <c r="L22" i="8"/>
  <c r="K22" i="8"/>
  <c r="L21" i="8"/>
  <c r="K21" i="8"/>
  <c r="L19" i="8"/>
  <c r="K19" i="8"/>
  <c r="L18" i="8"/>
  <c r="K18" i="8"/>
  <c r="L17" i="8"/>
  <c r="K17" i="8"/>
  <c r="N15" i="8"/>
  <c r="M15" i="8"/>
  <c r="L15" i="8"/>
  <c r="K15" i="8"/>
  <c r="N14" i="8"/>
  <c r="M14" i="8"/>
  <c r="L14" i="8"/>
  <c r="K14" i="8"/>
  <c r="N13" i="8"/>
  <c r="M13" i="8"/>
  <c r="L13" i="8"/>
  <c r="K13" i="8"/>
  <c r="N46" i="7"/>
  <c r="M46" i="7"/>
  <c r="L46" i="7"/>
  <c r="K46" i="7"/>
  <c r="J46" i="7"/>
  <c r="I46" i="7"/>
  <c r="H46" i="7"/>
  <c r="G46" i="7"/>
  <c r="F46" i="7"/>
  <c r="E46" i="7"/>
  <c r="D46" i="7"/>
  <c r="C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K47" i="7" s="1"/>
  <c r="J44" i="7"/>
  <c r="I44" i="7"/>
  <c r="I47" i="7" s="1"/>
  <c r="H44" i="7"/>
  <c r="G44" i="7"/>
  <c r="F44" i="7"/>
  <c r="E44" i="7"/>
  <c r="D44" i="7"/>
  <c r="C44" i="7"/>
  <c r="C47" i="7" s="1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N43" i="7" s="1"/>
  <c r="M40" i="7"/>
  <c r="M43" i="7" s="1"/>
  <c r="L40" i="7"/>
  <c r="K40" i="7"/>
  <c r="J40" i="7"/>
  <c r="I40" i="7"/>
  <c r="H40" i="7"/>
  <c r="G40" i="7"/>
  <c r="G43" i="7" s="1"/>
  <c r="F40" i="7"/>
  <c r="F43" i="7" s="1"/>
  <c r="E40" i="7"/>
  <c r="E43" i="7" s="1"/>
  <c r="D40" i="7"/>
  <c r="C40" i="7"/>
  <c r="N38" i="7"/>
  <c r="M38" i="7"/>
  <c r="L38" i="7"/>
  <c r="K38" i="7"/>
  <c r="J38" i="7"/>
  <c r="I38" i="7"/>
  <c r="H38" i="7"/>
  <c r="G38" i="7"/>
  <c r="F38" i="7"/>
  <c r="E38" i="7"/>
  <c r="D38" i="7"/>
  <c r="C38" i="7"/>
  <c r="N37" i="7"/>
  <c r="M37" i="7"/>
  <c r="L37" i="7"/>
  <c r="K37" i="7"/>
  <c r="J37" i="7"/>
  <c r="I37" i="7"/>
  <c r="H37" i="7"/>
  <c r="G37" i="7"/>
  <c r="F37" i="7"/>
  <c r="E37" i="7"/>
  <c r="D37" i="7"/>
  <c r="C37" i="7"/>
  <c r="N36" i="7"/>
  <c r="M36" i="7"/>
  <c r="L36" i="7"/>
  <c r="K36" i="7"/>
  <c r="K39" i="7" s="1"/>
  <c r="J36" i="7"/>
  <c r="J39" i="7" s="1"/>
  <c r="I36" i="7"/>
  <c r="I39" i="7" s="1"/>
  <c r="H36" i="7"/>
  <c r="G36" i="7"/>
  <c r="F36" i="7"/>
  <c r="E36" i="7"/>
  <c r="D36" i="7"/>
  <c r="C36" i="7"/>
  <c r="C39" i="7" s="1"/>
  <c r="C33" i="7"/>
  <c r="D33" i="7"/>
  <c r="E33" i="7"/>
  <c r="F33" i="7"/>
  <c r="G33" i="7"/>
  <c r="H33" i="7"/>
  <c r="I33" i="7"/>
  <c r="J33" i="7"/>
  <c r="K33" i="7"/>
  <c r="L33" i="7"/>
  <c r="M33" i="7"/>
  <c r="N33" i="7"/>
  <c r="C34" i="7"/>
  <c r="D34" i="7"/>
  <c r="E34" i="7"/>
  <c r="F34" i="7"/>
  <c r="G34" i="7"/>
  <c r="H34" i="7"/>
  <c r="I34" i="7"/>
  <c r="J34" i="7"/>
  <c r="K34" i="7"/>
  <c r="L34" i="7"/>
  <c r="M34" i="7"/>
  <c r="N34" i="7"/>
  <c r="D32" i="7"/>
  <c r="E32" i="7"/>
  <c r="F32" i="7"/>
  <c r="G32" i="7"/>
  <c r="H32" i="7"/>
  <c r="I32" i="7"/>
  <c r="J32" i="7"/>
  <c r="K32" i="7"/>
  <c r="L32" i="7"/>
  <c r="M32" i="7"/>
  <c r="N32" i="7"/>
  <c r="C32" i="7"/>
  <c r="N27" i="7"/>
  <c r="M27" i="7"/>
  <c r="L27" i="7"/>
  <c r="K27" i="7"/>
  <c r="J27" i="7"/>
  <c r="I27" i="7"/>
  <c r="H27" i="7"/>
  <c r="G27" i="7"/>
  <c r="F27" i="7"/>
  <c r="E27" i="7"/>
  <c r="D27" i="7"/>
  <c r="C27" i="7"/>
  <c r="N26" i="7"/>
  <c r="M26" i="7"/>
  <c r="L26" i="7"/>
  <c r="K26" i="7"/>
  <c r="J26" i="7"/>
  <c r="I26" i="7"/>
  <c r="H26" i="7"/>
  <c r="G26" i="7"/>
  <c r="F26" i="7"/>
  <c r="E26" i="7"/>
  <c r="D26" i="7"/>
  <c r="C26" i="7"/>
  <c r="N25" i="7"/>
  <c r="M25" i="7"/>
  <c r="L25" i="7"/>
  <c r="K25" i="7"/>
  <c r="J25" i="7"/>
  <c r="I25" i="7"/>
  <c r="H25" i="7"/>
  <c r="G25" i="7"/>
  <c r="F25" i="7"/>
  <c r="E25" i="7"/>
  <c r="D25" i="7"/>
  <c r="C25" i="7"/>
  <c r="N23" i="7"/>
  <c r="M23" i="7"/>
  <c r="L23" i="7"/>
  <c r="K23" i="7"/>
  <c r="J23" i="7"/>
  <c r="I23" i="7"/>
  <c r="H23" i="7"/>
  <c r="G23" i="7"/>
  <c r="F23" i="7"/>
  <c r="E23" i="7"/>
  <c r="D23" i="7"/>
  <c r="C23" i="7"/>
  <c r="N22" i="7"/>
  <c r="M22" i="7"/>
  <c r="L22" i="7"/>
  <c r="K22" i="7"/>
  <c r="J22" i="7"/>
  <c r="I22" i="7"/>
  <c r="H22" i="7"/>
  <c r="G22" i="7"/>
  <c r="F22" i="7"/>
  <c r="E22" i="7"/>
  <c r="D22" i="7"/>
  <c r="C22" i="7"/>
  <c r="N21" i="7"/>
  <c r="M21" i="7"/>
  <c r="L21" i="7"/>
  <c r="K21" i="7"/>
  <c r="J21" i="7"/>
  <c r="I21" i="7"/>
  <c r="H21" i="7"/>
  <c r="G21" i="7"/>
  <c r="F21" i="7"/>
  <c r="E21" i="7"/>
  <c r="D21" i="7"/>
  <c r="C21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E13" i="7"/>
  <c r="F13" i="7"/>
  <c r="G13" i="7"/>
  <c r="H13" i="7"/>
  <c r="I13" i="7"/>
  <c r="J13" i="7"/>
  <c r="K13" i="7"/>
  <c r="L13" i="7"/>
  <c r="M13" i="7"/>
  <c r="N13" i="7"/>
  <c r="E14" i="7"/>
  <c r="F14" i="7"/>
  <c r="G14" i="7"/>
  <c r="H14" i="7"/>
  <c r="I14" i="7"/>
  <c r="J14" i="7"/>
  <c r="K14" i="7"/>
  <c r="L14" i="7"/>
  <c r="M14" i="7"/>
  <c r="N14" i="7"/>
  <c r="E15" i="7"/>
  <c r="F15" i="7"/>
  <c r="G15" i="7"/>
  <c r="H15" i="7"/>
  <c r="I15" i="7"/>
  <c r="J15" i="7"/>
  <c r="K15" i="7"/>
  <c r="L15" i="7"/>
  <c r="M15" i="7"/>
  <c r="N15" i="7"/>
  <c r="C14" i="7"/>
  <c r="D14" i="7"/>
  <c r="C15" i="7"/>
  <c r="D15" i="7"/>
  <c r="D13" i="7"/>
  <c r="C13" i="7"/>
  <c r="N46" i="6"/>
  <c r="M46" i="6"/>
  <c r="L46" i="6"/>
  <c r="K46" i="6"/>
  <c r="J46" i="6"/>
  <c r="I46" i="6"/>
  <c r="H46" i="6"/>
  <c r="G46" i="6"/>
  <c r="F46" i="6"/>
  <c r="E46" i="6"/>
  <c r="D46" i="6"/>
  <c r="C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8" i="6"/>
  <c r="M38" i="6"/>
  <c r="L38" i="6"/>
  <c r="K38" i="6"/>
  <c r="J38" i="6"/>
  <c r="I38" i="6"/>
  <c r="H38" i="6"/>
  <c r="G38" i="6"/>
  <c r="F38" i="6"/>
  <c r="E38" i="6"/>
  <c r="D38" i="6"/>
  <c r="C38" i="6"/>
  <c r="N37" i="6"/>
  <c r="M37" i="6"/>
  <c r="L37" i="6"/>
  <c r="K37" i="6"/>
  <c r="J37" i="6"/>
  <c r="I37" i="6"/>
  <c r="H37" i="6"/>
  <c r="G37" i="6"/>
  <c r="F37" i="6"/>
  <c r="E37" i="6"/>
  <c r="D37" i="6"/>
  <c r="C37" i="6"/>
  <c r="N36" i="6"/>
  <c r="M36" i="6"/>
  <c r="L36" i="6"/>
  <c r="K36" i="6"/>
  <c r="J36" i="6"/>
  <c r="I36" i="6"/>
  <c r="H36" i="6"/>
  <c r="G36" i="6"/>
  <c r="F36" i="6"/>
  <c r="E36" i="6"/>
  <c r="D36" i="6"/>
  <c r="C36" i="6"/>
  <c r="C33" i="6"/>
  <c r="D33" i="6"/>
  <c r="E33" i="6"/>
  <c r="F33" i="6"/>
  <c r="G33" i="6"/>
  <c r="H33" i="6"/>
  <c r="I33" i="6"/>
  <c r="J33" i="6"/>
  <c r="K33" i="6"/>
  <c r="L33" i="6"/>
  <c r="M33" i="6"/>
  <c r="N33" i="6"/>
  <c r="C34" i="6"/>
  <c r="D34" i="6"/>
  <c r="E34" i="6"/>
  <c r="F34" i="6"/>
  <c r="G34" i="6"/>
  <c r="H34" i="6"/>
  <c r="I34" i="6"/>
  <c r="J34" i="6"/>
  <c r="K34" i="6"/>
  <c r="L34" i="6"/>
  <c r="M34" i="6"/>
  <c r="N34" i="6"/>
  <c r="E32" i="6"/>
  <c r="F32" i="6"/>
  <c r="G32" i="6"/>
  <c r="H32" i="6"/>
  <c r="I32" i="6"/>
  <c r="J32" i="6"/>
  <c r="K32" i="6"/>
  <c r="L32" i="6"/>
  <c r="M32" i="6"/>
  <c r="N32" i="6"/>
  <c r="C32" i="6"/>
  <c r="D32" i="6"/>
  <c r="N27" i="6"/>
  <c r="M27" i="6"/>
  <c r="L27" i="6"/>
  <c r="K27" i="6"/>
  <c r="N26" i="6"/>
  <c r="M26" i="6"/>
  <c r="L26" i="6"/>
  <c r="K26" i="6"/>
  <c r="N25" i="6"/>
  <c r="M25" i="6"/>
  <c r="L25" i="6"/>
  <c r="K25" i="6"/>
  <c r="N23" i="6"/>
  <c r="M23" i="6"/>
  <c r="L23" i="6"/>
  <c r="K23" i="6"/>
  <c r="N22" i="6"/>
  <c r="M22" i="6"/>
  <c r="L22" i="6"/>
  <c r="K22" i="6"/>
  <c r="N21" i="6"/>
  <c r="M21" i="6"/>
  <c r="L21" i="6"/>
  <c r="K21" i="6"/>
  <c r="N19" i="6"/>
  <c r="M19" i="6"/>
  <c r="L19" i="6"/>
  <c r="K19" i="6"/>
  <c r="N18" i="6"/>
  <c r="M18" i="6"/>
  <c r="L18" i="6"/>
  <c r="K18" i="6"/>
  <c r="N17" i="6"/>
  <c r="M17" i="6"/>
  <c r="L17" i="6"/>
  <c r="K17" i="6"/>
  <c r="M13" i="6"/>
  <c r="N13" i="6"/>
  <c r="M14" i="6"/>
  <c r="N14" i="6"/>
  <c r="M15" i="6"/>
  <c r="N15" i="6"/>
  <c r="K14" i="6"/>
  <c r="L14" i="6"/>
  <c r="K15" i="6"/>
  <c r="L15" i="6"/>
  <c r="L13" i="6"/>
  <c r="K13" i="6"/>
  <c r="N46" i="5"/>
  <c r="M46" i="5"/>
  <c r="L46" i="5"/>
  <c r="K46" i="5"/>
  <c r="J46" i="5"/>
  <c r="I46" i="5"/>
  <c r="H46" i="5"/>
  <c r="G46" i="5"/>
  <c r="F46" i="5"/>
  <c r="E46" i="5"/>
  <c r="D46" i="5"/>
  <c r="C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8" i="5"/>
  <c r="M38" i="5"/>
  <c r="L38" i="5"/>
  <c r="K38" i="5"/>
  <c r="J38" i="5"/>
  <c r="I38" i="5"/>
  <c r="H38" i="5"/>
  <c r="G38" i="5"/>
  <c r="F38" i="5"/>
  <c r="E38" i="5"/>
  <c r="D38" i="5"/>
  <c r="C38" i="5"/>
  <c r="N37" i="5"/>
  <c r="M37" i="5"/>
  <c r="L37" i="5"/>
  <c r="K37" i="5"/>
  <c r="J37" i="5"/>
  <c r="I37" i="5"/>
  <c r="H37" i="5"/>
  <c r="G37" i="5"/>
  <c r="F37" i="5"/>
  <c r="E37" i="5"/>
  <c r="D37" i="5"/>
  <c r="C37" i="5"/>
  <c r="N36" i="5"/>
  <c r="M36" i="5"/>
  <c r="L36" i="5"/>
  <c r="K36" i="5"/>
  <c r="J36" i="5"/>
  <c r="I36" i="5"/>
  <c r="H36" i="5"/>
  <c r="G36" i="5"/>
  <c r="F36" i="5"/>
  <c r="E36" i="5"/>
  <c r="D36" i="5"/>
  <c r="C36" i="5"/>
  <c r="J47" i="7" l="1"/>
  <c r="H39" i="7"/>
  <c r="L43" i="7"/>
  <c r="H47" i="7"/>
  <c r="D43" i="7"/>
  <c r="F39" i="7"/>
  <c r="N39" i="7"/>
  <c r="J43" i="7"/>
  <c r="F47" i="7"/>
  <c r="N47" i="7"/>
  <c r="C35" i="7"/>
  <c r="G35" i="7"/>
  <c r="M35" i="7"/>
  <c r="E35" i="7"/>
  <c r="D35" i="7"/>
  <c r="D39" i="7"/>
  <c r="I35" i="7"/>
  <c r="E39" i="7"/>
  <c r="M39" i="7"/>
  <c r="I43" i="7"/>
  <c r="E47" i="7"/>
  <c r="M47" i="7"/>
  <c r="H43" i="7"/>
  <c r="L47" i="7"/>
  <c r="H35" i="7"/>
  <c r="L39" i="7"/>
  <c r="D47" i="7"/>
  <c r="G39" i="7"/>
  <c r="C43" i="7"/>
  <c r="K43" i="7"/>
  <c r="G47" i="7"/>
  <c r="O13" i="7"/>
  <c r="N35" i="7"/>
  <c r="J35" i="7"/>
  <c r="F35" i="7"/>
  <c r="K35" i="7"/>
  <c r="L35" i="7"/>
  <c r="P13" i="7"/>
  <c r="E32" i="5"/>
  <c r="F32" i="5"/>
  <c r="G32" i="5"/>
  <c r="H32" i="5"/>
  <c r="I32" i="5"/>
  <c r="J32" i="5"/>
  <c r="K32" i="5"/>
  <c r="L32" i="5"/>
  <c r="M32" i="5"/>
  <c r="N32" i="5"/>
  <c r="E33" i="5"/>
  <c r="F33" i="5"/>
  <c r="G33" i="5"/>
  <c r="H33" i="5"/>
  <c r="I33" i="5"/>
  <c r="J33" i="5"/>
  <c r="K33" i="5"/>
  <c r="L33" i="5"/>
  <c r="M33" i="5"/>
  <c r="N33" i="5"/>
  <c r="E34" i="5"/>
  <c r="F34" i="5"/>
  <c r="G34" i="5"/>
  <c r="H34" i="5"/>
  <c r="I34" i="5"/>
  <c r="J34" i="5"/>
  <c r="K34" i="5"/>
  <c r="L34" i="5"/>
  <c r="M34" i="5"/>
  <c r="N34" i="5"/>
  <c r="D32" i="5"/>
  <c r="D33" i="5"/>
  <c r="D34" i="5"/>
  <c r="C33" i="5"/>
  <c r="C34" i="5"/>
  <c r="C32" i="5"/>
  <c r="N27" i="5"/>
  <c r="M27" i="5"/>
  <c r="L27" i="5"/>
  <c r="K27" i="5"/>
  <c r="J27" i="5"/>
  <c r="I27" i="5"/>
  <c r="H27" i="5"/>
  <c r="G27" i="5"/>
  <c r="F27" i="5"/>
  <c r="E27" i="5"/>
  <c r="D27" i="5"/>
  <c r="C27" i="5"/>
  <c r="N26" i="5"/>
  <c r="M26" i="5"/>
  <c r="L26" i="5"/>
  <c r="K26" i="5"/>
  <c r="J26" i="5"/>
  <c r="I26" i="5"/>
  <c r="H26" i="5"/>
  <c r="G26" i="5"/>
  <c r="F26" i="5"/>
  <c r="E26" i="5"/>
  <c r="D26" i="5"/>
  <c r="C26" i="5"/>
  <c r="N25" i="5"/>
  <c r="M25" i="5"/>
  <c r="L25" i="5"/>
  <c r="K25" i="5"/>
  <c r="J25" i="5"/>
  <c r="I25" i="5"/>
  <c r="H25" i="5"/>
  <c r="G25" i="5"/>
  <c r="F25" i="5"/>
  <c r="E25" i="5"/>
  <c r="D25" i="5"/>
  <c r="C25" i="5"/>
  <c r="N23" i="5"/>
  <c r="M23" i="5"/>
  <c r="L23" i="5"/>
  <c r="K23" i="5"/>
  <c r="J23" i="5"/>
  <c r="I23" i="5"/>
  <c r="H23" i="5"/>
  <c r="G23" i="5"/>
  <c r="F23" i="5"/>
  <c r="E23" i="5"/>
  <c r="D23" i="5"/>
  <c r="C23" i="5"/>
  <c r="N22" i="5"/>
  <c r="M22" i="5"/>
  <c r="L22" i="5"/>
  <c r="K22" i="5"/>
  <c r="J22" i="5"/>
  <c r="I22" i="5"/>
  <c r="H22" i="5"/>
  <c r="G22" i="5"/>
  <c r="F22" i="5"/>
  <c r="E22" i="5"/>
  <c r="D22" i="5"/>
  <c r="C22" i="5"/>
  <c r="N21" i="5"/>
  <c r="M21" i="5"/>
  <c r="L21" i="5"/>
  <c r="K21" i="5"/>
  <c r="J21" i="5"/>
  <c r="I21" i="5"/>
  <c r="H21" i="5"/>
  <c r="G21" i="5"/>
  <c r="F21" i="5"/>
  <c r="E21" i="5"/>
  <c r="D21" i="5"/>
  <c r="C21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D13" i="5"/>
  <c r="E13" i="5"/>
  <c r="F13" i="5"/>
  <c r="G13" i="5"/>
  <c r="H13" i="5"/>
  <c r="I13" i="5"/>
  <c r="J13" i="5"/>
  <c r="K13" i="5"/>
  <c r="L13" i="5"/>
  <c r="M13" i="5"/>
  <c r="M51" i="5" s="1"/>
  <c r="N13" i="5"/>
  <c r="D14" i="5"/>
  <c r="E14" i="5"/>
  <c r="F14" i="5"/>
  <c r="G14" i="5"/>
  <c r="H14" i="5"/>
  <c r="I14" i="5"/>
  <c r="J14" i="5"/>
  <c r="K14" i="5"/>
  <c r="L14" i="5"/>
  <c r="M14" i="5"/>
  <c r="N14" i="5"/>
  <c r="D15" i="5"/>
  <c r="E15" i="5"/>
  <c r="F15" i="5"/>
  <c r="G15" i="5"/>
  <c r="H15" i="5"/>
  <c r="I15" i="5"/>
  <c r="J15" i="5"/>
  <c r="K15" i="5"/>
  <c r="L15" i="5"/>
  <c r="M15" i="5"/>
  <c r="N15" i="5"/>
  <c r="C14" i="5"/>
  <c r="C15" i="5"/>
  <c r="C13" i="5"/>
  <c r="N46" i="4"/>
  <c r="M46" i="4"/>
  <c r="L46" i="4"/>
  <c r="K46" i="4"/>
  <c r="J46" i="4"/>
  <c r="I46" i="4"/>
  <c r="H46" i="4"/>
  <c r="G46" i="4"/>
  <c r="F46" i="4"/>
  <c r="E46" i="4"/>
  <c r="D46" i="4"/>
  <c r="C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8" i="4"/>
  <c r="M38" i="4"/>
  <c r="L38" i="4"/>
  <c r="K38" i="4"/>
  <c r="J38" i="4"/>
  <c r="I38" i="4"/>
  <c r="H38" i="4"/>
  <c r="G38" i="4"/>
  <c r="F38" i="4"/>
  <c r="E38" i="4"/>
  <c r="D38" i="4"/>
  <c r="C38" i="4"/>
  <c r="N37" i="4"/>
  <c r="M37" i="4"/>
  <c r="L37" i="4"/>
  <c r="K37" i="4"/>
  <c r="J37" i="4"/>
  <c r="I37" i="4"/>
  <c r="H37" i="4"/>
  <c r="G37" i="4"/>
  <c r="F37" i="4"/>
  <c r="E37" i="4"/>
  <c r="D37" i="4"/>
  <c r="C37" i="4"/>
  <c r="N36" i="4"/>
  <c r="M36" i="4"/>
  <c r="L36" i="4"/>
  <c r="K36" i="4"/>
  <c r="J36" i="4"/>
  <c r="I36" i="4"/>
  <c r="H36" i="4"/>
  <c r="G36" i="4"/>
  <c r="F36" i="4"/>
  <c r="E36" i="4"/>
  <c r="D36" i="4"/>
  <c r="C36" i="4"/>
  <c r="M33" i="4"/>
  <c r="N33" i="4"/>
  <c r="M34" i="4"/>
  <c r="N34" i="4"/>
  <c r="N32" i="4"/>
  <c r="M32" i="4"/>
  <c r="K33" i="4"/>
  <c r="L33" i="4"/>
  <c r="K34" i="4"/>
  <c r="L34" i="4"/>
  <c r="L32" i="4"/>
  <c r="K32" i="4"/>
  <c r="I33" i="4"/>
  <c r="J33" i="4"/>
  <c r="I34" i="4"/>
  <c r="J34" i="4"/>
  <c r="J32" i="4"/>
  <c r="I32" i="4"/>
  <c r="G33" i="4"/>
  <c r="H33" i="4"/>
  <c r="G34" i="4"/>
  <c r="H34" i="4"/>
  <c r="H32" i="4"/>
  <c r="G32" i="4"/>
  <c r="E33" i="4"/>
  <c r="F33" i="4"/>
  <c r="E34" i="4"/>
  <c r="F34" i="4"/>
  <c r="F32" i="4"/>
  <c r="E32" i="4"/>
  <c r="C34" i="4"/>
  <c r="D34" i="4"/>
  <c r="C33" i="4"/>
  <c r="D33" i="4"/>
  <c r="D32" i="4"/>
  <c r="C32" i="4"/>
  <c r="N27" i="4"/>
  <c r="M27" i="4"/>
  <c r="L27" i="4"/>
  <c r="K27" i="4"/>
  <c r="J27" i="4"/>
  <c r="I27" i="4"/>
  <c r="H27" i="4"/>
  <c r="G27" i="4"/>
  <c r="F27" i="4"/>
  <c r="E27" i="4"/>
  <c r="D27" i="4"/>
  <c r="C27" i="4"/>
  <c r="N26" i="4"/>
  <c r="M26" i="4"/>
  <c r="L26" i="4"/>
  <c r="K26" i="4"/>
  <c r="J26" i="4"/>
  <c r="I26" i="4"/>
  <c r="H26" i="4"/>
  <c r="G26" i="4"/>
  <c r="F26" i="4"/>
  <c r="E26" i="4"/>
  <c r="D26" i="4"/>
  <c r="C26" i="4"/>
  <c r="N25" i="4"/>
  <c r="M25" i="4"/>
  <c r="L25" i="4"/>
  <c r="K25" i="4"/>
  <c r="J25" i="4"/>
  <c r="I25" i="4"/>
  <c r="H25" i="4"/>
  <c r="G25" i="4"/>
  <c r="F25" i="4"/>
  <c r="E25" i="4"/>
  <c r="D25" i="4"/>
  <c r="C25" i="4"/>
  <c r="N23" i="4"/>
  <c r="M23" i="4"/>
  <c r="L23" i="4"/>
  <c r="K23" i="4"/>
  <c r="J23" i="4"/>
  <c r="I23" i="4"/>
  <c r="H23" i="4"/>
  <c r="G23" i="4"/>
  <c r="F23" i="4"/>
  <c r="E23" i="4"/>
  <c r="D23" i="4"/>
  <c r="C23" i="4"/>
  <c r="N22" i="4"/>
  <c r="M22" i="4"/>
  <c r="L22" i="4"/>
  <c r="K22" i="4"/>
  <c r="J22" i="4"/>
  <c r="I22" i="4"/>
  <c r="H22" i="4"/>
  <c r="G22" i="4"/>
  <c r="F22" i="4"/>
  <c r="E22" i="4"/>
  <c r="D22" i="4"/>
  <c r="C22" i="4"/>
  <c r="N21" i="4"/>
  <c r="M21" i="4"/>
  <c r="L21" i="4"/>
  <c r="K21" i="4"/>
  <c r="J21" i="4"/>
  <c r="I21" i="4"/>
  <c r="H21" i="4"/>
  <c r="G21" i="4"/>
  <c r="F21" i="4"/>
  <c r="E21" i="4"/>
  <c r="D21" i="4"/>
  <c r="C21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C13" i="4"/>
  <c r="D13" i="4"/>
  <c r="E13" i="4"/>
  <c r="F13" i="4"/>
  <c r="G13" i="4"/>
  <c r="H13" i="4"/>
  <c r="I13" i="4"/>
  <c r="J13" i="4"/>
  <c r="K13" i="4"/>
  <c r="L13" i="4"/>
  <c r="M13" i="4"/>
  <c r="N13" i="4"/>
  <c r="C14" i="4"/>
  <c r="D14" i="4"/>
  <c r="E14" i="4"/>
  <c r="F14" i="4"/>
  <c r="G14" i="4"/>
  <c r="H14" i="4"/>
  <c r="I14" i="4"/>
  <c r="J14" i="4"/>
  <c r="K14" i="4"/>
  <c r="L14" i="4"/>
  <c r="M14" i="4"/>
  <c r="N14" i="4"/>
  <c r="C15" i="4"/>
  <c r="D15" i="4"/>
  <c r="E15" i="4"/>
  <c r="F15" i="4"/>
  <c r="G15" i="4"/>
  <c r="H15" i="4"/>
  <c r="I15" i="4"/>
  <c r="J15" i="4"/>
  <c r="K15" i="4"/>
  <c r="L15" i="4"/>
  <c r="M15" i="4"/>
  <c r="N15" i="4"/>
  <c r="P13" i="5" l="1"/>
  <c r="P18" i="5"/>
  <c r="P21" i="5"/>
  <c r="P23" i="5"/>
  <c r="P26" i="5"/>
  <c r="O35" i="7"/>
  <c r="O39" i="7"/>
  <c r="O47" i="7"/>
  <c r="O15" i="5"/>
  <c r="O43" i="7"/>
  <c r="O17" i="5"/>
  <c r="O19" i="5"/>
  <c r="O22" i="5"/>
  <c r="O25" i="5"/>
  <c r="O27" i="5"/>
  <c r="P15" i="5"/>
  <c r="P17" i="5"/>
  <c r="P25" i="5"/>
  <c r="O14" i="5"/>
  <c r="P22" i="5"/>
  <c r="P19" i="5"/>
  <c r="P27" i="5"/>
  <c r="O13" i="5"/>
  <c r="P14" i="5"/>
  <c r="O18" i="5"/>
  <c r="O21" i="5"/>
  <c r="O23" i="5"/>
  <c r="O26" i="5"/>
  <c r="O13" i="4"/>
  <c r="P17" i="4"/>
  <c r="P13" i="4"/>
  <c r="O17" i="4"/>
  <c r="O16" i="5" l="1"/>
  <c r="P16" i="5"/>
  <c r="O28" i="5"/>
  <c r="O20" i="5"/>
  <c r="N27" i="11"/>
  <c r="N65" i="11" s="1"/>
  <c r="M27" i="11"/>
  <c r="M65" i="11" s="1"/>
  <c r="L27" i="11"/>
  <c r="L65" i="11" s="1"/>
  <c r="K27" i="11"/>
  <c r="K65" i="11" s="1"/>
  <c r="J27" i="11"/>
  <c r="J65" i="11" s="1"/>
  <c r="I27" i="11"/>
  <c r="I65" i="11" s="1"/>
  <c r="H27" i="11"/>
  <c r="H65" i="11" s="1"/>
  <c r="G27" i="11"/>
  <c r="G65" i="11" s="1"/>
  <c r="F27" i="11"/>
  <c r="F65" i="11" s="1"/>
  <c r="E27" i="11"/>
  <c r="E65" i="11" s="1"/>
  <c r="D27" i="11"/>
  <c r="D65" i="11" s="1"/>
  <c r="C27" i="11"/>
  <c r="C65" i="11" s="1"/>
  <c r="N26" i="11"/>
  <c r="N64" i="11" s="1"/>
  <c r="M26" i="11"/>
  <c r="M64" i="11" s="1"/>
  <c r="L26" i="11"/>
  <c r="L64" i="11" s="1"/>
  <c r="K26" i="11"/>
  <c r="K64" i="11" s="1"/>
  <c r="J26" i="11"/>
  <c r="J64" i="11" s="1"/>
  <c r="I26" i="11"/>
  <c r="I64" i="11" s="1"/>
  <c r="H26" i="11"/>
  <c r="H64" i="11" s="1"/>
  <c r="G26" i="11"/>
  <c r="G64" i="11" s="1"/>
  <c r="F26" i="11"/>
  <c r="F64" i="11" s="1"/>
  <c r="E26" i="11"/>
  <c r="E64" i="11" s="1"/>
  <c r="D26" i="11"/>
  <c r="D64" i="11" s="1"/>
  <c r="C26" i="11"/>
  <c r="C64" i="11" s="1"/>
  <c r="N25" i="11"/>
  <c r="N63" i="11" s="1"/>
  <c r="M25" i="11"/>
  <c r="M63" i="11" s="1"/>
  <c r="L25" i="11"/>
  <c r="L63" i="11" s="1"/>
  <c r="K25" i="11"/>
  <c r="K63" i="11" s="1"/>
  <c r="J25" i="11"/>
  <c r="J63" i="11" s="1"/>
  <c r="I25" i="11"/>
  <c r="I63" i="11" s="1"/>
  <c r="H25" i="11"/>
  <c r="H63" i="11" s="1"/>
  <c r="G25" i="11"/>
  <c r="G63" i="11" s="1"/>
  <c r="F25" i="11"/>
  <c r="F63" i="11" s="1"/>
  <c r="E25" i="11"/>
  <c r="E63" i="11" s="1"/>
  <c r="D25" i="11"/>
  <c r="D63" i="11" s="1"/>
  <c r="C25" i="11"/>
  <c r="C63" i="11" s="1"/>
  <c r="N23" i="11"/>
  <c r="N61" i="11" s="1"/>
  <c r="M23" i="11"/>
  <c r="M61" i="11" s="1"/>
  <c r="L23" i="11"/>
  <c r="L61" i="11" s="1"/>
  <c r="K23" i="11"/>
  <c r="K61" i="11" s="1"/>
  <c r="J23" i="11"/>
  <c r="J61" i="11" s="1"/>
  <c r="I23" i="11"/>
  <c r="I61" i="11" s="1"/>
  <c r="H23" i="11"/>
  <c r="H61" i="11" s="1"/>
  <c r="G23" i="11"/>
  <c r="G61" i="11" s="1"/>
  <c r="F23" i="11"/>
  <c r="F61" i="11" s="1"/>
  <c r="E23" i="11"/>
  <c r="E61" i="11" s="1"/>
  <c r="D23" i="11"/>
  <c r="D61" i="11" s="1"/>
  <c r="C23" i="11"/>
  <c r="C61" i="11" s="1"/>
  <c r="N22" i="11"/>
  <c r="N60" i="11" s="1"/>
  <c r="M22" i="11"/>
  <c r="M60" i="11" s="1"/>
  <c r="L22" i="11"/>
  <c r="L60" i="11" s="1"/>
  <c r="K22" i="11"/>
  <c r="K60" i="11" s="1"/>
  <c r="J22" i="11"/>
  <c r="J60" i="11" s="1"/>
  <c r="I22" i="11"/>
  <c r="I60" i="11" s="1"/>
  <c r="H22" i="11"/>
  <c r="H60" i="11" s="1"/>
  <c r="G22" i="11"/>
  <c r="G60" i="11" s="1"/>
  <c r="F22" i="11"/>
  <c r="F60" i="11" s="1"/>
  <c r="E22" i="11"/>
  <c r="E60" i="11" s="1"/>
  <c r="D22" i="11"/>
  <c r="D60" i="11" s="1"/>
  <c r="C22" i="11"/>
  <c r="C60" i="11" s="1"/>
  <c r="N21" i="11"/>
  <c r="N59" i="11" s="1"/>
  <c r="M21" i="11"/>
  <c r="M59" i="11" s="1"/>
  <c r="L21" i="11"/>
  <c r="L59" i="11" s="1"/>
  <c r="K21" i="11"/>
  <c r="K59" i="11" s="1"/>
  <c r="J21" i="11"/>
  <c r="J59" i="11" s="1"/>
  <c r="I21" i="11"/>
  <c r="I59" i="11" s="1"/>
  <c r="H21" i="11"/>
  <c r="H59" i="11" s="1"/>
  <c r="G21" i="11"/>
  <c r="G59" i="11" s="1"/>
  <c r="F21" i="11"/>
  <c r="F59" i="11" s="1"/>
  <c r="E21" i="11"/>
  <c r="E59" i="11" s="1"/>
  <c r="D21" i="11"/>
  <c r="D59" i="11" s="1"/>
  <c r="C21" i="11"/>
  <c r="C59" i="11" s="1"/>
  <c r="N19" i="11"/>
  <c r="N57" i="11" s="1"/>
  <c r="M19" i="11"/>
  <c r="M57" i="11" s="1"/>
  <c r="L19" i="11"/>
  <c r="L57" i="11" s="1"/>
  <c r="K19" i="11"/>
  <c r="K57" i="11" s="1"/>
  <c r="J19" i="11"/>
  <c r="J57" i="11" s="1"/>
  <c r="I19" i="11"/>
  <c r="I57" i="11" s="1"/>
  <c r="H19" i="11"/>
  <c r="H57" i="11" s="1"/>
  <c r="G19" i="11"/>
  <c r="G57" i="11" s="1"/>
  <c r="F19" i="11"/>
  <c r="F57" i="11" s="1"/>
  <c r="E19" i="11"/>
  <c r="E57" i="11" s="1"/>
  <c r="D19" i="11"/>
  <c r="D57" i="11" s="1"/>
  <c r="C19" i="11"/>
  <c r="C57" i="11" s="1"/>
  <c r="N18" i="11"/>
  <c r="N56" i="11" s="1"/>
  <c r="M18" i="11"/>
  <c r="M56" i="11" s="1"/>
  <c r="L18" i="11"/>
  <c r="L56" i="11" s="1"/>
  <c r="K18" i="11"/>
  <c r="K56" i="11" s="1"/>
  <c r="J18" i="11"/>
  <c r="J56" i="11" s="1"/>
  <c r="I18" i="11"/>
  <c r="I56" i="11" s="1"/>
  <c r="H18" i="11"/>
  <c r="H56" i="11" s="1"/>
  <c r="G18" i="11"/>
  <c r="G56" i="11" s="1"/>
  <c r="F18" i="11"/>
  <c r="F56" i="11" s="1"/>
  <c r="E18" i="11"/>
  <c r="E56" i="11" s="1"/>
  <c r="D18" i="11"/>
  <c r="D56" i="11" s="1"/>
  <c r="C18" i="11"/>
  <c r="C56" i="11" s="1"/>
  <c r="N17" i="11"/>
  <c r="N55" i="11" s="1"/>
  <c r="M17" i="11"/>
  <c r="M55" i="11" s="1"/>
  <c r="L17" i="11"/>
  <c r="L55" i="11" s="1"/>
  <c r="K17" i="11"/>
  <c r="K55" i="11" s="1"/>
  <c r="J17" i="11"/>
  <c r="J55" i="11" s="1"/>
  <c r="I17" i="11"/>
  <c r="I55" i="11" s="1"/>
  <c r="H17" i="11"/>
  <c r="H55" i="11" s="1"/>
  <c r="G17" i="11"/>
  <c r="G55" i="11" s="1"/>
  <c r="F17" i="11"/>
  <c r="F55" i="11" s="1"/>
  <c r="E17" i="11"/>
  <c r="E55" i="11" s="1"/>
  <c r="D17" i="11"/>
  <c r="D55" i="11" s="1"/>
  <c r="C17" i="11"/>
  <c r="C55" i="11" s="1"/>
  <c r="N15" i="11"/>
  <c r="N53" i="11" s="1"/>
  <c r="M15" i="11"/>
  <c r="M53" i="11" s="1"/>
  <c r="L15" i="11"/>
  <c r="L53" i="11" s="1"/>
  <c r="K15" i="11"/>
  <c r="K53" i="11" s="1"/>
  <c r="J15" i="11"/>
  <c r="J53" i="11" s="1"/>
  <c r="I15" i="11"/>
  <c r="I53" i="11" s="1"/>
  <c r="H15" i="11"/>
  <c r="H53" i="11" s="1"/>
  <c r="G15" i="11"/>
  <c r="G53" i="11" s="1"/>
  <c r="F15" i="11"/>
  <c r="F53" i="11" s="1"/>
  <c r="E15" i="11"/>
  <c r="E53" i="11" s="1"/>
  <c r="D15" i="11"/>
  <c r="D53" i="11" s="1"/>
  <c r="N14" i="11"/>
  <c r="N52" i="11" s="1"/>
  <c r="M14" i="11"/>
  <c r="M52" i="11" s="1"/>
  <c r="L14" i="11"/>
  <c r="L52" i="11" s="1"/>
  <c r="K14" i="11"/>
  <c r="K52" i="11" s="1"/>
  <c r="J14" i="11"/>
  <c r="J52" i="11" s="1"/>
  <c r="I14" i="11"/>
  <c r="I52" i="11" s="1"/>
  <c r="H14" i="11"/>
  <c r="H52" i="11" s="1"/>
  <c r="G14" i="11"/>
  <c r="G52" i="11" s="1"/>
  <c r="F14" i="11"/>
  <c r="F52" i="11" s="1"/>
  <c r="E14" i="11"/>
  <c r="E52" i="11" s="1"/>
  <c r="D14" i="11"/>
  <c r="D52" i="11" s="1"/>
  <c r="N13" i="11"/>
  <c r="N51" i="11" s="1"/>
  <c r="M13" i="11"/>
  <c r="M51" i="11" s="1"/>
  <c r="L13" i="11"/>
  <c r="L51" i="11" s="1"/>
  <c r="K13" i="11"/>
  <c r="K51" i="11" s="1"/>
  <c r="J13" i="11"/>
  <c r="J51" i="11" s="1"/>
  <c r="I13" i="11"/>
  <c r="I51" i="11" s="1"/>
  <c r="H13" i="11"/>
  <c r="H51" i="11" s="1"/>
  <c r="G13" i="11"/>
  <c r="G51" i="11" s="1"/>
  <c r="F13" i="11"/>
  <c r="F51" i="11" s="1"/>
  <c r="E13" i="11"/>
  <c r="E51" i="11" s="1"/>
  <c r="D13" i="11"/>
  <c r="D51" i="11" s="1"/>
  <c r="C14" i="11"/>
  <c r="C52" i="11" s="1"/>
  <c r="C15" i="11"/>
  <c r="C53" i="11" s="1"/>
  <c r="C13" i="11"/>
  <c r="C51" i="11" s="1"/>
  <c r="O27" i="11"/>
  <c r="O65" i="11" s="1"/>
  <c r="O25" i="11"/>
  <c r="O63" i="11" s="1"/>
  <c r="O23" i="11"/>
  <c r="O61" i="11" s="1"/>
  <c r="O21" i="11"/>
  <c r="O59" i="11" s="1"/>
  <c r="O19" i="11"/>
  <c r="O57" i="11" s="1"/>
  <c r="O17" i="11"/>
  <c r="O55" i="11" s="1"/>
  <c r="O15" i="11"/>
  <c r="O53" i="11" s="1"/>
  <c r="O13" i="11"/>
  <c r="O51" i="11" s="1"/>
  <c r="P13" i="11" l="1"/>
  <c r="P51" i="11" s="1"/>
  <c r="P14" i="11"/>
  <c r="P52" i="11" s="1"/>
  <c r="P17" i="11"/>
  <c r="P55" i="11" s="1"/>
  <c r="P18" i="11"/>
  <c r="P56" i="11" s="1"/>
  <c r="P19" i="11"/>
  <c r="P57" i="11" s="1"/>
  <c r="P21" i="11"/>
  <c r="P59" i="11" s="1"/>
  <c r="P22" i="11"/>
  <c r="P60" i="11" s="1"/>
  <c r="P25" i="11"/>
  <c r="P63" i="11" s="1"/>
  <c r="O14" i="11" l="1"/>
  <c r="O52" i="11" s="1"/>
  <c r="O26" i="11"/>
  <c r="O64" i="11" s="1"/>
  <c r="O18" i="11"/>
  <c r="O56" i="11" s="1"/>
  <c r="O22" i="11"/>
  <c r="O60" i="11" s="1"/>
  <c r="P15" i="11"/>
  <c r="P53" i="11" s="1"/>
  <c r="P23" i="11"/>
  <c r="P61" i="11" s="1"/>
  <c r="P26" i="11"/>
  <c r="P64" i="11" s="1"/>
  <c r="P27" i="11"/>
  <c r="P65" i="11" s="1"/>
  <c r="D22" i="14"/>
  <c r="C22" i="14"/>
  <c r="D23" i="14" s="1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E21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F20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E11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F10" i="14"/>
  <c r="B2" i="14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2" i="13"/>
  <c r="M19" i="12"/>
  <c r="L19" i="12"/>
  <c r="K19" i="12"/>
  <c r="G17" i="12"/>
  <c r="F17" i="12"/>
  <c r="F19" i="12" s="1"/>
  <c r="D17" i="12"/>
  <c r="D19" i="12" s="1"/>
  <c r="C17" i="12"/>
  <c r="C19" i="12" s="1"/>
  <c r="N16" i="12"/>
  <c r="M15" i="12"/>
  <c r="L15" i="12"/>
  <c r="K15" i="12"/>
  <c r="M14" i="12"/>
  <c r="L14" i="12"/>
  <c r="K14" i="12"/>
  <c r="M13" i="12"/>
  <c r="L13" i="12"/>
  <c r="K13" i="12"/>
  <c r="M12" i="12"/>
  <c r="L12" i="12"/>
  <c r="K12" i="12"/>
  <c r="M11" i="12"/>
  <c r="L11" i="12"/>
  <c r="K11" i="12"/>
  <c r="M10" i="12"/>
  <c r="L10" i="12"/>
  <c r="K10" i="12"/>
  <c r="E10" i="12"/>
  <c r="E17" i="12" s="1"/>
  <c r="E19" i="12" s="1"/>
  <c r="B2" i="12"/>
  <c r="N28" i="11"/>
  <c r="N66" i="11" s="1"/>
  <c r="M28" i="11"/>
  <c r="M66" i="11" s="1"/>
  <c r="L28" i="11"/>
  <c r="L66" i="11" s="1"/>
  <c r="K28" i="11"/>
  <c r="K66" i="11" s="1"/>
  <c r="J28" i="11"/>
  <c r="J66" i="11" s="1"/>
  <c r="I28" i="11"/>
  <c r="I66" i="11" s="1"/>
  <c r="H28" i="11"/>
  <c r="H66" i="11" s="1"/>
  <c r="G28" i="11"/>
  <c r="G66" i="11" s="1"/>
  <c r="F28" i="11"/>
  <c r="F66" i="11" s="1"/>
  <c r="E28" i="11"/>
  <c r="E66" i="11" s="1"/>
  <c r="D28" i="11"/>
  <c r="D66" i="11" s="1"/>
  <c r="C28" i="11"/>
  <c r="C66" i="11" s="1"/>
  <c r="N24" i="11"/>
  <c r="N62" i="11" s="1"/>
  <c r="M24" i="11"/>
  <c r="M62" i="11" s="1"/>
  <c r="L24" i="11"/>
  <c r="L62" i="11" s="1"/>
  <c r="K24" i="11"/>
  <c r="K62" i="11" s="1"/>
  <c r="J24" i="11"/>
  <c r="J62" i="11" s="1"/>
  <c r="I24" i="11"/>
  <c r="I62" i="11" s="1"/>
  <c r="H24" i="11"/>
  <c r="H62" i="11" s="1"/>
  <c r="G24" i="11"/>
  <c r="G62" i="11" s="1"/>
  <c r="F24" i="11"/>
  <c r="F62" i="11" s="1"/>
  <c r="E24" i="11"/>
  <c r="E62" i="11" s="1"/>
  <c r="D24" i="11"/>
  <c r="D62" i="11" s="1"/>
  <c r="C24" i="11"/>
  <c r="C62" i="11" s="1"/>
  <c r="P20" i="11"/>
  <c r="P58" i="11" s="1"/>
  <c r="N20" i="11"/>
  <c r="N58" i="11" s="1"/>
  <c r="M20" i="11"/>
  <c r="M58" i="11" s="1"/>
  <c r="L20" i="11"/>
  <c r="L58" i="11" s="1"/>
  <c r="K20" i="11"/>
  <c r="K58" i="11" s="1"/>
  <c r="J20" i="11"/>
  <c r="J58" i="11" s="1"/>
  <c r="I20" i="11"/>
  <c r="I58" i="11" s="1"/>
  <c r="H20" i="11"/>
  <c r="H58" i="11" s="1"/>
  <c r="G20" i="11"/>
  <c r="G58" i="11" s="1"/>
  <c r="F20" i="11"/>
  <c r="F58" i="11" s="1"/>
  <c r="E20" i="11"/>
  <c r="E58" i="11" s="1"/>
  <c r="D20" i="11"/>
  <c r="D58" i="11" s="1"/>
  <c r="C20" i="11"/>
  <c r="N16" i="11"/>
  <c r="N54" i="11" s="1"/>
  <c r="M16" i="11"/>
  <c r="M54" i="11" s="1"/>
  <c r="L16" i="11"/>
  <c r="L54" i="11" s="1"/>
  <c r="K16" i="11"/>
  <c r="K54" i="11" s="1"/>
  <c r="J16" i="11"/>
  <c r="J54" i="11" s="1"/>
  <c r="I16" i="11"/>
  <c r="I54" i="11" s="1"/>
  <c r="H16" i="11"/>
  <c r="H54" i="11" s="1"/>
  <c r="G16" i="11"/>
  <c r="G54" i="11" s="1"/>
  <c r="F16" i="11"/>
  <c r="F54" i="11" s="1"/>
  <c r="E16" i="11"/>
  <c r="E54" i="11" s="1"/>
  <c r="D16" i="11"/>
  <c r="D54" i="11" s="1"/>
  <c r="C16" i="11"/>
  <c r="C54" i="11" s="1"/>
  <c r="B2" i="11"/>
  <c r="P46" i="10"/>
  <c r="O46" i="10"/>
  <c r="P45" i="10"/>
  <c r="O45" i="10"/>
  <c r="P44" i="10"/>
  <c r="O44" i="10"/>
  <c r="P42" i="10"/>
  <c r="O42" i="10"/>
  <c r="P41" i="10"/>
  <c r="O41" i="10"/>
  <c r="P40" i="10"/>
  <c r="O40" i="10"/>
  <c r="P38" i="10"/>
  <c r="O38" i="10"/>
  <c r="P37" i="10"/>
  <c r="O37" i="10"/>
  <c r="P36" i="10"/>
  <c r="O36" i="10"/>
  <c r="P34" i="10"/>
  <c r="O34" i="10"/>
  <c r="P33" i="10"/>
  <c r="O33" i="10"/>
  <c r="P32" i="10"/>
  <c r="O32" i="10"/>
  <c r="O27" i="10"/>
  <c r="N65" i="10"/>
  <c r="M65" i="10"/>
  <c r="L65" i="10"/>
  <c r="K65" i="10"/>
  <c r="J65" i="10"/>
  <c r="I65" i="10"/>
  <c r="H65" i="10"/>
  <c r="G65" i="10"/>
  <c r="E65" i="10"/>
  <c r="C65" i="10"/>
  <c r="O26" i="10"/>
  <c r="N64" i="10"/>
  <c r="M64" i="10"/>
  <c r="L64" i="10"/>
  <c r="K64" i="10"/>
  <c r="J64" i="10"/>
  <c r="I64" i="10"/>
  <c r="H64" i="10"/>
  <c r="O25" i="10"/>
  <c r="L63" i="10"/>
  <c r="K63" i="10"/>
  <c r="H63" i="10"/>
  <c r="G63" i="10"/>
  <c r="O23" i="10"/>
  <c r="L61" i="10"/>
  <c r="K61" i="10"/>
  <c r="J61" i="10"/>
  <c r="O22" i="10"/>
  <c r="N60" i="10"/>
  <c r="L60" i="10"/>
  <c r="K60" i="10"/>
  <c r="H60" i="10"/>
  <c r="G60" i="10"/>
  <c r="F60" i="10"/>
  <c r="E60" i="10"/>
  <c r="O21" i="10"/>
  <c r="L59" i="10"/>
  <c r="K59" i="10"/>
  <c r="O19" i="10"/>
  <c r="N57" i="10"/>
  <c r="M57" i="10"/>
  <c r="J57" i="10"/>
  <c r="I57" i="10"/>
  <c r="O18" i="10"/>
  <c r="N56" i="10"/>
  <c r="M56" i="10"/>
  <c r="O17" i="10"/>
  <c r="L55" i="10"/>
  <c r="K55" i="10"/>
  <c r="H55" i="10"/>
  <c r="G55" i="10"/>
  <c r="N53" i="10"/>
  <c r="M53" i="10"/>
  <c r="L53" i="10"/>
  <c r="I53" i="10"/>
  <c r="L52" i="10"/>
  <c r="K52" i="10"/>
  <c r="H52" i="10"/>
  <c r="G52" i="10"/>
  <c r="L51" i="10"/>
  <c r="K51" i="10"/>
  <c r="B2" i="10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P35" i="9"/>
  <c r="P48" i="9" s="1"/>
  <c r="O35" i="9"/>
  <c r="N35" i="9"/>
  <c r="N48" i="9" s="1"/>
  <c r="M35" i="9"/>
  <c r="M48" i="9" s="1"/>
  <c r="U14" i="1" s="1"/>
  <c r="L35" i="9"/>
  <c r="L48" i="9" s="1"/>
  <c r="K35" i="9"/>
  <c r="K48" i="9" s="1"/>
  <c r="U13" i="1" s="1"/>
  <c r="J35" i="9"/>
  <c r="J48" i="9" s="1"/>
  <c r="I35" i="9"/>
  <c r="I48" i="9" s="1"/>
  <c r="U10" i="1" s="1"/>
  <c r="H35" i="9"/>
  <c r="H48" i="9" s="1"/>
  <c r="G35" i="9"/>
  <c r="G48" i="9" s="1"/>
  <c r="U11" i="1" s="1"/>
  <c r="F35" i="9"/>
  <c r="F48" i="9" s="1"/>
  <c r="E35" i="9"/>
  <c r="E48" i="9" s="1"/>
  <c r="D35" i="9"/>
  <c r="D48" i="9" s="1"/>
  <c r="C35" i="9"/>
  <c r="C48" i="9" s="1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N27" i="9"/>
  <c r="N65" i="9" s="1"/>
  <c r="M27" i="9"/>
  <c r="M65" i="9" s="1"/>
  <c r="L27" i="9"/>
  <c r="L65" i="9" s="1"/>
  <c r="K27" i="9"/>
  <c r="K65" i="9" s="1"/>
  <c r="J27" i="9"/>
  <c r="J65" i="9" s="1"/>
  <c r="I27" i="9"/>
  <c r="I65" i="9" s="1"/>
  <c r="H27" i="9"/>
  <c r="H65" i="9" s="1"/>
  <c r="G27" i="9"/>
  <c r="G65" i="9" s="1"/>
  <c r="F27" i="9"/>
  <c r="F65" i="9" s="1"/>
  <c r="E27" i="9"/>
  <c r="E65" i="9" s="1"/>
  <c r="D27" i="9"/>
  <c r="C27" i="9"/>
  <c r="C65" i="9" s="1"/>
  <c r="N26" i="9"/>
  <c r="N64" i="9" s="1"/>
  <c r="M26" i="9"/>
  <c r="M64" i="9" s="1"/>
  <c r="L26" i="9"/>
  <c r="L64" i="9" s="1"/>
  <c r="K26" i="9"/>
  <c r="K64" i="9" s="1"/>
  <c r="J26" i="9"/>
  <c r="I26" i="9"/>
  <c r="H26" i="9"/>
  <c r="G26" i="9"/>
  <c r="F26" i="9"/>
  <c r="F64" i="9" s="1"/>
  <c r="E26" i="9"/>
  <c r="E64" i="9" s="1"/>
  <c r="D26" i="9"/>
  <c r="C26" i="9"/>
  <c r="N25" i="9"/>
  <c r="N63" i="9" s="1"/>
  <c r="M25" i="9"/>
  <c r="L25" i="9"/>
  <c r="L63" i="9" s="1"/>
  <c r="K25" i="9"/>
  <c r="K63" i="9" s="1"/>
  <c r="J25" i="9"/>
  <c r="I25" i="9"/>
  <c r="H25" i="9"/>
  <c r="H63" i="9" s="1"/>
  <c r="G25" i="9"/>
  <c r="G63" i="9" s="1"/>
  <c r="F25" i="9"/>
  <c r="F63" i="9" s="1"/>
  <c r="E25" i="9"/>
  <c r="E63" i="9" s="1"/>
  <c r="D25" i="9"/>
  <c r="C25" i="9"/>
  <c r="N23" i="9"/>
  <c r="N61" i="9" s="1"/>
  <c r="M23" i="9"/>
  <c r="M61" i="9" s="1"/>
  <c r="L23" i="9"/>
  <c r="L61" i="9" s="1"/>
  <c r="K23" i="9"/>
  <c r="J23" i="9"/>
  <c r="I23" i="9"/>
  <c r="H23" i="9"/>
  <c r="H61" i="9" s="1"/>
  <c r="G23" i="9"/>
  <c r="G61" i="9" s="1"/>
  <c r="F23" i="9"/>
  <c r="E23" i="9"/>
  <c r="D23" i="9"/>
  <c r="C23" i="9"/>
  <c r="N22" i="9"/>
  <c r="M22" i="9"/>
  <c r="M60" i="9" s="1"/>
  <c r="L22" i="9"/>
  <c r="L60" i="9" s="1"/>
  <c r="K22" i="9"/>
  <c r="K60" i="9" s="1"/>
  <c r="J22" i="9"/>
  <c r="I22" i="9"/>
  <c r="H22" i="9"/>
  <c r="H60" i="9" s="1"/>
  <c r="G22" i="9"/>
  <c r="G60" i="9" s="1"/>
  <c r="F22" i="9"/>
  <c r="E22" i="9"/>
  <c r="D22" i="9"/>
  <c r="C22" i="9"/>
  <c r="N21" i="9"/>
  <c r="N59" i="9" s="1"/>
  <c r="M21" i="9"/>
  <c r="M59" i="9" s="1"/>
  <c r="L21" i="9"/>
  <c r="L59" i="9" s="1"/>
  <c r="K21" i="9"/>
  <c r="K59" i="9" s="1"/>
  <c r="J21" i="9"/>
  <c r="J59" i="9" s="1"/>
  <c r="I21" i="9"/>
  <c r="I59" i="9" s="1"/>
  <c r="H21" i="9"/>
  <c r="H59" i="9" s="1"/>
  <c r="G21" i="9"/>
  <c r="G59" i="9" s="1"/>
  <c r="F21" i="9"/>
  <c r="F59" i="9" s="1"/>
  <c r="E21" i="9"/>
  <c r="E59" i="9" s="1"/>
  <c r="D21" i="9"/>
  <c r="D59" i="9" s="1"/>
  <c r="C21" i="9"/>
  <c r="C59" i="9" s="1"/>
  <c r="N19" i="9"/>
  <c r="N57" i="9" s="1"/>
  <c r="M19" i="9"/>
  <c r="M57" i="9" s="1"/>
  <c r="L19" i="9"/>
  <c r="L57" i="9" s="1"/>
  <c r="K19" i="9"/>
  <c r="K57" i="9" s="1"/>
  <c r="J19" i="9"/>
  <c r="I19" i="9"/>
  <c r="I57" i="9" s="1"/>
  <c r="H19" i="9"/>
  <c r="H57" i="9" s="1"/>
  <c r="G19" i="9"/>
  <c r="G57" i="9" s="1"/>
  <c r="F19" i="9"/>
  <c r="F57" i="9" s="1"/>
  <c r="E19" i="9"/>
  <c r="E57" i="9" s="1"/>
  <c r="D19" i="9"/>
  <c r="C19" i="9"/>
  <c r="N18" i="9"/>
  <c r="M18" i="9"/>
  <c r="L18" i="9"/>
  <c r="L56" i="9" s="1"/>
  <c r="K18" i="9"/>
  <c r="K56" i="9" s="1"/>
  <c r="J18" i="9"/>
  <c r="J56" i="9" s="1"/>
  <c r="I18" i="9"/>
  <c r="H18" i="9"/>
  <c r="H56" i="9" s="1"/>
  <c r="G18" i="9"/>
  <c r="G56" i="9" s="1"/>
  <c r="F18" i="9"/>
  <c r="E18" i="9"/>
  <c r="D18" i="9"/>
  <c r="C18" i="9"/>
  <c r="N17" i="9"/>
  <c r="M17" i="9"/>
  <c r="L17" i="9"/>
  <c r="L55" i="9" s="1"/>
  <c r="K17" i="9"/>
  <c r="J17" i="9"/>
  <c r="J55" i="9" s="1"/>
  <c r="I17" i="9"/>
  <c r="I55" i="9" s="1"/>
  <c r="H17" i="9"/>
  <c r="G17" i="9"/>
  <c r="F17" i="9"/>
  <c r="F55" i="9" s="1"/>
  <c r="E17" i="9"/>
  <c r="E55" i="9" s="1"/>
  <c r="D17" i="9"/>
  <c r="C17" i="9"/>
  <c r="N15" i="9"/>
  <c r="M15" i="9"/>
  <c r="L15" i="9"/>
  <c r="K15" i="9"/>
  <c r="J15" i="9"/>
  <c r="I15" i="9"/>
  <c r="H15" i="9"/>
  <c r="H53" i="9" s="1"/>
  <c r="G15" i="9"/>
  <c r="G53" i="9" s="1"/>
  <c r="F15" i="9"/>
  <c r="F53" i="9" s="1"/>
  <c r="E15" i="9"/>
  <c r="E53" i="9" s="1"/>
  <c r="D15" i="9"/>
  <c r="C15" i="9"/>
  <c r="N14" i="9"/>
  <c r="M14" i="9"/>
  <c r="L14" i="9"/>
  <c r="L52" i="9" s="1"/>
  <c r="K14" i="9"/>
  <c r="K52" i="9" s="1"/>
  <c r="J14" i="9"/>
  <c r="I14" i="9"/>
  <c r="H14" i="9"/>
  <c r="H52" i="9" s="1"/>
  <c r="G14" i="9"/>
  <c r="G52" i="9" s="1"/>
  <c r="F14" i="9"/>
  <c r="E14" i="9"/>
  <c r="D14" i="9"/>
  <c r="C14" i="9"/>
  <c r="N13" i="9"/>
  <c r="N51" i="9" s="1"/>
  <c r="M13" i="9"/>
  <c r="M51" i="9" s="1"/>
  <c r="L13" i="9"/>
  <c r="K13" i="9"/>
  <c r="J13" i="9"/>
  <c r="J51" i="9" s="1"/>
  <c r="I13" i="9"/>
  <c r="I51" i="9" s="1"/>
  <c r="H13" i="9"/>
  <c r="G13" i="9"/>
  <c r="F13" i="9"/>
  <c r="F51" i="9" s="1"/>
  <c r="E13" i="9"/>
  <c r="E51" i="9" s="1"/>
  <c r="D13" i="9"/>
  <c r="C13" i="9"/>
  <c r="B2" i="9"/>
  <c r="L46" i="8"/>
  <c r="K46" i="8"/>
  <c r="N46" i="8"/>
  <c r="M46" i="8"/>
  <c r="J46" i="8"/>
  <c r="I46" i="8"/>
  <c r="H46" i="8"/>
  <c r="G46" i="8"/>
  <c r="F46" i="8"/>
  <c r="E46" i="8"/>
  <c r="D46" i="8"/>
  <c r="C46" i="8"/>
  <c r="L45" i="8"/>
  <c r="K45" i="8"/>
  <c r="N45" i="8"/>
  <c r="M45" i="8"/>
  <c r="J45" i="8"/>
  <c r="I45" i="8"/>
  <c r="H45" i="8"/>
  <c r="G45" i="8"/>
  <c r="F45" i="8"/>
  <c r="E45" i="8"/>
  <c r="D45" i="8"/>
  <c r="C45" i="8"/>
  <c r="L44" i="8"/>
  <c r="K44" i="8"/>
  <c r="N44" i="8"/>
  <c r="M44" i="8"/>
  <c r="J44" i="8"/>
  <c r="I44" i="8"/>
  <c r="H44" i="8"/>
  <c r="G44" i="8"/>
  <c r="F44" i="8"/>
  <c r="E44" i="8"/>
  <c r="D44" i="8"/>
  <c r="C44" i="8"/>
  <c r="L42" i="8"/>
  <c r="K42" i="8"/>
  <c r="K61" i="8" s="1"/>
  <c r="N42" i="8"/>
  <c r="M42" i="8"/>
  <c r="J42" i="8"/>
  <c r="I42" i="8"/>
  <c r="H42" i="8"/>
  <c r="G42" i="8"/>
  <c r="F42" i="8"/>
  <c r="E42" i="8"/>
  <c r="D42" i="8"/>
  <c r="C42" i="8"/>
  <c r="L41" i="8"/>
  <c r="K41" i="8"/>
  <c r="N41" i="8"/>
  <c r="M41" i="8"/>
  <c r="J41" i="8"/>
  <c r="I41" i="8"/>
  <c r="H41" i="8"/>
  <c r="G41" i="8"/>
  <c r="F41" i="8"/>
  <c r="E41" i="8"/>
  <c r="D41" i="8"/>
  <c r="C41" i="8"/>
  <c r="L40" i="8"/>
  <c r="K40" i="8"/>
  <c r="N40" i="8"/>
  <c r="M40" i="8"/>
  <c r="J40" i="8"/>
  <c r="I40" i="8"/>
  <c r="H40" i="8"/>
  <c r="G40" i="8"/>
  <c r="F40" i="8"/>
  <c r="E40" i="8"/>
  <c r="D40" i="8"/>
  <c r="C40" i="8"/>
  <c r="L38" i="8"/>
  <c r="K38" i="8"/>
  <c r="N38" i="8"/>
  <c r="M38" i="8"/>
  <c r="J38" i="8"/>
  <c r="I38" i="8"/>
  <c r="H38" i="8"/>
  <c r="G38" i="8"/>
  <c r="F38" i="8"/>
  <c r="E38" i="8"/>
  <c r="D38" i="8"/>
  <c r="C38" i="8"/>
  <c r="L37" i="8"/>
  <c r="K37" i="8"/>
  <c r="N37" i="8"/>
  <c r="M37" i="8"/>
  <c r="J37" i="8"/>
  <c r="I37" i="8"/>
  <c r="H37" i="8"/>
  <c r="G37" i="8"/>
  <c r="F37" i="8"/>
  <c r="E37" i="8"/>
  <c r="D37" i="8"/>
  <c r="C37" i="8"/>
  <c r="L36" i="8"/>
  <c r="K36" i="8"/>
  <c r="N36" i="8"/>
  <c r="N55" i="8" s="1"/>
  <c r="M36" i="8"/>
  <c r="J36" i="8"/>
  <c r="I36" i="8"/>
  <c r="H36" i="8"/>
  <c r="G36" i="8"/>
  <c r="F36" i="8"/>
  <c r="E36" i="8"/>
  <c r="D36" i="8"/>
  <c r="C36" i="8"/>
  <c r="L34" i="8"/>
  <c r="K34" i="8"/>
  <c r="N34" i="8"/>
  <c r="N53" i="8" s="1"/>
  <c r="M34" i="8"/>
  <c r="M53" i="8" s="1"/>
  <c r="J34" i="8"/>
  <c r="I34" i="8"/>
  <c r="H34" i="8"/>
  <c r="G34" i="8"/>
  <c r="F34" i="8"/>
  <c r="E34" i="8"/>
  <c r="D34" i="8"/>
  <c r="C34" i="8"/>
  <c r="L33" i="8"/>
  <c r="K33" i="8"/>
  <c r="N33" i="8"/>
  <c r="N52" i="8" s="1"/>
  <c r="M33" i="8"/>
  <c r="M52" i="8" s="1"/>
  <c r="J33" i="8"/>
  <c r="I33" i="8"/>
  <c r="H33" i="8"/>
  <c r="G33" i="8"/>
  <c r="F33" i="8"/>
  <c r="E33" i="8"/>
  <c r="D33" i="8"/>
  <c r="C33" i="8"/>
  <c r="L32" i="8"/>
  <c r="K32" i="8"/>
  <c r="N32" i="8"/>
  <c r="M32" i="8"/>
  <c r="J32" i="8"/>
  <c r="I32" i="8"/>
  <c r="H32" i="8"/>
  <c r="G32" i="8"/>
  <c r="F32" i="8"/>
  <c r="E32" i="8"/>
  <c r="D32" i="8"/>
  <c r="C32" i="8"/>
  <c r="L65" i="8"/>
  <c r="K65" i="8"/>
  <c r="N65" i="8"/>
  <c r="M65" i="8"/>
  <c r="J27" i="8"/>
  <c r="J65" i="8" s="1"/>
  <c r="I27" i="8"/>
  <c r="H27" i="8"/>
  <c r="H65" i="8" s="1"/>
  <c r="G27" i="8"/>
  <c r="G65" i="8" s="1"/>
  <c r="F27" i="8"/>
  <c r="F65" i="8" s="1"/>
  <c r="E27" i="8"/>
  <c r="D27" i="8"/>
  <c r="C27" i="8"/>
  <c r="L64" i="8"/>
  <c r="K64" i="8"/>
  <c r="N64" i="8"/>
  <c r="M64" i="8"/>
  <c r="J26" i="8"/>
  <c r="J64" i="8" s="1"/>
  <c r="I26" i="8"/>
  <c r="H26" i="8"/>
  <c r="G26" i="8"/>
  <c r="F26" i="8"/>
  <c r="F64" i="8" s="1"/>
  <c r="E26" i="8"/>
  <c r="C26" i="8"/>
  <c r="K63" i="8"/>
  <c r="N63" i="8"/>
  <c r="J25" i="8"/>
  <c r="I25" i="8"/>
  <c r="H25" i="8"/>
  <c r="H63" i="8" s="1"/>
  <c r="G25" i="8"/>
  <c r="F25" i="8"/>
  <c r="E25" i="8"/>
  <c r="D25" i="8"/>
  <c r="C25" i="8"/>
  <c r="L61" i="8"/>
  <c r="N61" i="8"/>
  <c r="J23" i="8"/>
  <c r="J61" i="8" s="1"/>
  <c r="I23" i="8"/>
  <c r="I61" i="8" s="1"/>
  <c r="H23" i="8"/>
  <c r="H61" i="8" s="1"/>
  <c r="G23" i="8"/>
  <c r="G61" i="8" s="1"/>
  <c r="F23" i="8"/>
  <c r="E23" i="8"/>
  <c r="D23" i="8"/>
  <c r="C23" i="8"/>
  <c r="L60" i="8"/>
  <c r="N60" i="8"/>
  <c r="M60" i="8"/>
  <c r="J22" i="8"/>
  <c r="I22" i="8"/>
  <c r="H22" i="8"/>
  <c r="H60" i="8" s="1"/>
  <c r="G22" i="8"/>
  <c r="G60" i="8" s="1"/>
  <c r="F22" i="8"/>
  <c r="E22" i="8"/>
  <c r="D22" i="8"/>
  <c r="C22" i="8"/>
  <c r="L59" i="8"/>
  <c r="K59" i="8"/>
  <c r="N59" i="8"/>
  <c r="M24" i="8"/>
  <c r="J21" i="8"/>
  <c r="I21" i="8"/>
  <c r="H21" i="8"/>
  <c r="G21" i="8"/>
  <c r="F21" i="8"/>
  <c r="E21" i="8"/>
  <c r="D21" i="8"/>
  <c r="C21" i="8"/>
  <c r="L57" i="8"/>
  <c r="K57" i="8"/>
  <c r="N57" i="8"/>
  <c r="M57" i="8"/>
  <c r="J19" i="8"/>
  <c r="I19" i="8"/>
  <c r="H19" i="8"/>
  <c r="H57" i="8" s="1"/>
  <c r="G19" i="8"/>
  <c r="G57" i="8" s="1"/>
  <c r="F19" i="8"/>
  <c r="F57" i="8" s="1"/>
  <c r="E19" i="8"/>
  <c r="E57" i="8" s="1"/>
  <c r="D19" i="8"/>
  <c r="C19" i="8"/>
  <c r="L56" i="8"/>
  <c r="N56" i="8"/>
  <c r="J18" i="8"/>
  <c r="J56" i="8" s="1"/>
  <c r="I18" i="8"/>
  <c r="H18" i="8"/>
  <c r="H56" i="8" s="1"/>
  <c r="G18" i="8"/>
  <c r="G56" i="8" s="1"/>
  <c r="F18" i="8"/>
  <c r="F56" i="8" s="1"/>
  <c r="E18" i="8"/>
  <c r="C18" i="8"/>
  <c r="L55" i="8"/>
  <c r="K55" i="8"/>
  <c r="J17" i="8"/>
  <c r="I17" i="8"/>
  <c r="H17" i="8"/>
  <c r="G17" i="8"/>
  <c r="F17" i="8"/>
  <c r="E17" i="8"/>
  <c r="C17" i="8"/>
  <c r="L53" i="8"/>
  <c r="K53" i="8"/>
  <c r="J15" i="8"/>
  <c r="J53" i="8" s="1"/>
  <c r="I15" i="8"/>
  <c r="I53" i="8" s="1"/>
  <c r="H15" i="8"/>
  <c r="H53" i="8" s="1"/>
  <c r="G15" i="8"/>
  <c r="G53" i="8" s="1"/>
  <c r="F15" i="8"/>
  <c r="E15" i="8"/>
  <c r="C15" i="8"/>
  <c r="L52" i="8"/>
  <c r="J14" i="8"/>
  <c r="I14" i="8"/>
  <c r="H14" i="8"/>
  <c r="H52" i="8" s="1"/>
  <c r="G14" i="8"/>
  <c r="G52" i="8" s="1"/>
  <c r="F14" i="8"/>
  <c r="E14" i="8"/>
  <c r="D14" i="8"/>
  <c r="C14" i="8"/>
  <c r="L51" i="8"/>
  <c r="K51" i="8"/>
  <c r="N51" i="8"/>
  <c r="M16" i="8"/>
  <c r="J13" i="8"/>
  <c r="I13" i="8"/>
  <c r="H13" i="8"/>
  <c r="H51" i="8" s="1"/>
  <c r="G13" i="8"/>
  <c r="F13" i="8"/>
  <c r="E13" i="8"/>
  <c r="D13" i="8"/>
  <c r="C13" i="8"/>
  <c r="B2" i="8"/>
  <c r="I65" i="7"/>
  <c r="E65" i="7"/>
  <c r="E64" i="7"/>
  <c r="E63" i="7"/>
  <c r="P42" i="7"/>
  <c r="E60" i="7"/>
  <c r="P41" i="7"/>
  <c r="I59" i="7"/>
  <c r="E59" i="7"/>
  <c r="I57" i="7"/>
  <c r="O37" i="7"/>
  <c r="H53" i="7"/>
  <c r="D53" i="7"/>
  <c r="D51" i="7"/>
  <c r="L65" i="7"/>
  <c r="K65" i="7"/>
  <c r="M65" i="7"/>
  <c r="G65" i="7"/>
  <c r="C65" i="7"/>
  <c r="L64" i="7"/>
  <c r="K64" i="7"/>
  <c r="N64" i="7"/>
  <c r="M64" i="7"/>
  <c r="I64" i="7"/>
  <c r="F64" i="7"/>
  <c r="D64" i="7"/>
  <c r="C64" i="7"/>
  <c r="L63" i="7"/>
  <c r="K63" i="7"/>
  <c r="I63" i="7"/>
  <c r="F63" i="7"/>
  <c r="D63" i="7"/>
  <c r="L61" i="7"/>
  <c r="K61" i="7"/>
  <c r="M61" i="7"/>
  <c r="G61" i="7"/>
  <c r="C61" i="7"/>
  <c r="L60" i="7"/>
  <c r="M60" i="7"/>
  <c r="I60" i="7"/>
  <c r="F60" i="7"/>
  <c r="C60" i="7"/>
  <c r="L59" i="7"/>
  <c r="K59" i="7"/>
  <c r="L57" i="7"/>
  <c r="K57" i="7"/>
  <c r="E57" i="7"/>
  <c r="L56" i="7"/>
  <c r="K56" i="7"/>
  <c r="J56" i="7"/>
  <c r="I56" i="7"/>
  <c r="F56" i="7"/>
  <c r="E56" i="7"/>
  <c r="C56" i="7"/>
  <c r="L55" i="7"/>
  <c r="K55" i="7"/>
  <c r="N55" i="7"/>
  <c r="M55" i="7"/>
  <c r="J20" i="7"/>
  <c r="I55" i="7"/>
  <c r="F20" i="7"/>
  <c r="E55" i="7"/>
  <c r="L53" i="7"/>
  <c r="K53" i="7"/>
  <c r="N53" i="7"/>
  <c r="J53" i="7"/>
  <c r="I53" i="7"/>
  <c r="F53" i="7"/>
  <c r="E53" i="7"/>
  <c r="L52" i="7"/>
  <c r="K52" i="7"/>
  <c r="N52" i="7"/>
  <c r="M52" i="7"/>
  <c r="J52" i="7"/>
  <c r="I52" i="7"/>
  <c r="H52" i="7"/>
  <c r="F52" i="7"/>
  <c r="E52" i="7"/>
  <c r="L51" i="7"/>
  <c r="K51" i="7"/>
  <c r="N16" i="7"/>
  <c r="N54" i="7" s="1"/>
  <c r="M51" i="7"/>
  <c r="J51" i="7"/>
  <c r="I51" i="7"/>
  <c r="H16" i="7"/>
  <c r="F51" i="7"/>
  <c r="E51" i="7"/>
  <c r="B2" i="7"/>
  <c r="N65" i="6"/>
  <c r="M65" i="6"/>
  <c r="L47" i="6"/>
  <c r="M47" i="6"/>
  <c r="J47" i="6"/>
  <c r="I47" i="6"/>
  <c r="G47" i="6"/>
  <c r="F47" i="6"/>
  <c r="L43" i="6"/>
  <c r="K43" i="6"/>
  <c r="J43" i="6"/>
  <c r="I43" i="6"/>
  <c r="G43" i="6"/>
  <c r="F43" i="6"/>
  <c r="E43" i="6"/>
  <c r="N57" i="6"/>
  <c r="K39" i="6"/>
  <c r="I39" i="6"/>
  <c r="E39" i="6"/>
  <c r="C39" i="6"/>
  <c r="K35" i="6"/>
  <c r="M35" i="6"/>
  <c r="H35" i="6"/>
  <c r="G35" i="6"/>
  <c r="E35" i="6"/>
  <c r="D35" i="6"/>
  <c r="C35" i="6"/>
  <c r="J27" i="6"/>
  <c r="J65" i="6" s="1"/>
  <c r="I27" i="6"/>
  <c r="I65" i="6" s="1"/>
  <c r="H27" i="6"/>
  <c r="G27" i="6"/>
  <c r="F27" i="6"/>
  <c r="E27" i="6"/>
  <c r="D27" i="6"/>
  <c r="C27" i="6"/>
  <c r="L64" i="6"/>
  <c r="K64" i="6"/>
  <c r="N64" i="6"/>
  <c r="M64" i="6"/>
  <c r="J26" i="6"/>
  <c r="J64" i="6" s="1"/>
  <c r="I26" i="6"/>
  <c r="I64" i="6" s="1"/>
  <c r="H26" i="6"/>
  <c r="G26" i="6"/>
  <c r="F26" i="6"/>
  <c r="E26" i="6"/>
  <c r="E64" i="6" s="1"/>
  <c r="D26" i="6"/>
  <c r="C26" i="6"/>
  <c r="M63" i="6"/>
  <c r="J25" i="6"/>
  <c r="I25" i="6"/>
  <c r="I63" i="6" s="1"/>
  <c r="H25" i="6"/>
  <c r="G25" i="6"/>
  <c r="F25" i="6"/>
  <c r="E25" i="6"/>
  <c r="E63" i="6" s="1"/>
  <c r="D25" i="6"/>
  <c r="C25" i="6"/>
  <c r="L61" i="6"/>
  <c r="K61" i="6"/>
  <c r="N61" i="6"/>
  <c r="M61" i="6"/>
  <c r="J23" i="6"/>
  <c r="I23" i="6"/>
  <c r="I61" i="6" s="1"/>
  <c r="H23" i="6"/>
  <c r="H61" i="6" s="1"/>
  <c r="G23" i="6"/>
  <c r="G61" i="6" s="1"/>
  <c r="F23" i="6"/>
  <c r="E23" i="6"/>
  <c r="E61" i="6" s="1"/>
  <c r="D23" i="6"/>
  <c r="C23" i="6"/>
  <c r="L60" i="6"/>
  <c r="K60" i="6"/>
  <c r="N60" i="6"/>
  <c r="J22" i="6"/>
  <c r="I22" i="6"/>
  <c r="H22" i="6"/>
  <c r="G22" i="6"/>
  <c r="F22" i="6"/>
  <c r="E22" i="6"/>
  <c r="D22" i="6"/>
  <c r="C22" i="6"/>
  <c r="L59" i="6"/>
  <c r="K59" i="6"/>
  <c r="M59" i="6"/>
  <c r="J21" i="6"/>
  <c r="I21" i="6"/>
  <c r="I59" i="6" s="1"/>
  <c r="H21" i="6"/>
  <c r="G21" i="6"/>
  <c r="F21" i="6"/>
  <c r="E21" i="6"/>
  <c r="E59" i="6" s="1"/>
  <c r="D21" i="6"/>
  <c r="C21" i="6"/>
  <c r="M57" i="6"/>
  <c r="J19" i="6"/>
  <c r="I19" i="6"/>
  <c r="I57" i="6" s="1"/>
  <c r="H19" i="6"/>
  <c r="H57" i="6" s="1"/>
  <c r="G19" i="6"/>
  <c r="G57" i="6" s="1"/>
  <c r="F19" i="6"/>
  <c r="E19" i="6"/>
  <c r="E57" i="6" s="1"/>
  <c r="D19" i="6"/>
  <c r="C19" i="6"/>
  <c r="L56" i="6"/>
  <c r="K56" i="6"/>
  <c r="N56" i="6"/>
  <c r="M56" i="6"/>
  <c r="J18" i="6"/>
  <c r="I18" i="6"/>
  <c r="I56" i="6" s="1"/>
  <c r="H18" i="6"/>
  <c r="G18" i="6"/>
  <c r="F18" i="6"/>
  <c r="E18" i="6"/>
  <c r="E56" i="6" s="1"/>
  <c r="D18" i="6"/>
  <c r="C18" i="6"/>
  <c r="L55" i="6"/>
  <c r="K55" i="6"/>
  <c r="M55" i="6"/>
  <c r="J17" i="6"/>
  <c r="I17" i="6"/>
  <c r="I55" i="6" s="1"/>
  <c r="H17" i="6"/>
  <c r="G17" i="6"/>
  <c r="F17" i="6"/>
  <c r="E17" i="6"/>
  <c r="E55" i="6" s="1"/>
  <c r="D17" i="6"/>
  <c r="C17" i="6"/>
  <c r="L53" i="6"/>
  <c r="K53" i="6"/>
  <c r="N53" i="6"/>
  <c r="J15" i="6"/>
  <c r="I15" i="6"/>
  <c r="I53" i="6" s="1"/>
  <c r="H15" i="6"/>
  <c r="G15" i="6"/>
  <c r="F15" i="6"/>
  <c r="E15" i="6"/>
  <c r="E53" i="6" s="1"/>
  <c r="D15" i="6"/>
  <c r="C15" i="6"/>
  <c r="K52" i="6"/>
  <c r="N52" i="6"/>
  <c r="M52" i="6"/>
  <c r="J14" i="6"/>
  <c r="J52" i="6" s="1"/>
  <c r="I14" i="6"/>
  <c r="H14" i="6"/>
  <c r="H52" i="6" s="1"/>
  <c r="G14" i="6"/>
  <c r="G52" i="6" s="1"/>
  <c r="F14" i="6"/>
  <c r="F52" i="6" s="1"/>
  <c r="E14" i="6"/>
  <c r="E52" i="6" s="1"/>
  <c r="D14" i="6"/>
  <c r="D52" i="6" s="1"/>
  <c r="C14" i="6"/>
  <c r="L51" i="6"/>
  <c r="K51" i="6"/>
  <c r="M51" i="6"/>
  <c r="J13" i="6"/>
  <c r="J51" i="6" s="1"/>
  <c r="I13" i="6"/>
  <c r="H13" i="6"/>
  <c r="G13" i="6"/>
  <c r="F13" i="6"/>
  <c r="F51" i="6" s="1"/>
  <c r="E13" i="6"/>
  <c r="D13" i="6"/>
  <c r="C13" i="6"/>
  <c r="B2" i="6"/>
  <c r="O46" i="5"/>
  <c r="O65" i="5" s="1"/>
  <c r="H64" i="5"/>
  <c r="F64" i="5"/>
  <c r="D64" i="5"/>
  <c r="O45" i="5"/>
  <c r="L47" i="5"/>
  <c r="N47" i="5"/>
  <c r="M47" i="5"/>
  <c r="J47" i="5"/>
  <c r="F47" i="5"/>
  <c r="O44" i="5"/>
  <c r="J61" i="5"/>
  <c r="H61" i="5"/>
  <c r="O41" i="5"/>
  <c r="L43" i="5"/>
  <c r="M43" i="5"/>
  <c r="J43" i="5"/>
  <c r="F43" i="5"/>
  <c r="D59" i="5"/>
  <c r="O40" i="5"/>
  <c r="O38" i="5"/>
  <c r="O57" i="5" s="1"/>
  <c r="F56" i="5"/>
  <c r="D56" i="5"/>
  <c r="O37" i="5"/>
  <c r="L39" i="5"/>
  <c r="N55" i="5"/>
  <c r="J39" i="5"/>
  <c r="F39" i="5"/>
  <c r="O36" i="5"/>
  <c r="J53" i="5"/>
  <c r="F52" i="5"/>
  <c r="O33" i="5"/>
  <c r="L35" i="5"/>
  <c r="M35" i="5"/>
  <c r="J35" i="5"/>
  <c r="F35" i="5"/>
  <c r="D51" i="5"/>
  <c r="L65" i="5"/>
  <c r="K65" i="5"/>
  <c r="N65" i="5"/>
  <c r="M65" i="5"/>
  <c r="J65" i="5"/>
  <c r="I65" i="5"/>
  <c r="H65" i="5"/>
  <c r="G65" i="5"/>
  <c r="F65" i="5"/>
  <c r="E65" i="5"/>
  <c r="D65" i="5"/>
  <c r="L64" i="5"/>
  <c r="N64" i="5"/>
  <c r="M64" i="5"/>
  <c r="G64" i="5"/>
  <c r="E64" i="5"/>
  <c r="C64" i="5"/>
  <c r="L63" i="5"/>
  <c r="K63" i="5"/>
  <c r="N63" i="5"/>
  <c r="M63" i="5"/>
  <c r="J63" i="5"/>
  <c r="I63" i="5"/>
  <c r="H28" i="5"/>
  <c r="F63" i="5"/>
  <c r="E63" i="5"/>
  <c r="D28" i="5"/>
  <c r="C63" i="5"/>
  <c r="L61" i="5"/>
  <c r="K61" i="5"/>
  <c r="N61" i="5"/>
  <c r="I61" i="5"/>
  <c r="F61" i="5"/>
  <c r="E61" i="5"/>
  <c r="L60" i="5"/>
  <c r="K60" i="5"/>
  <c r="N60" i="5"/>
  <c r="M60" i="5"/>
  <c r="J60" i="5"/>
  <c r="I60" i="5"/>
  <c r="H60" i="5"/>
  <c r="G60" i="5"/>
  <c r="F60" i="5"/>
  <c r="L59" i="5"/>
  <c r="K59" i="5"/>
  <c r="N24" i="5"/>
  <c r="J59" i="5"/>
  <c r="I59" i="5"/>
  <c r="H24" i="5"/>
  <c r="E59" i="5"/>
  <c r="L57" i="5"/>
  <c r="K57" i="5"/>
  <c r="N57" i="5"/>
  <c r="M57" i="5"/>
  <c r="J57" i="5"/>
  <c r="I57" i="5"/>
  <c r="H57" i="5"/>
  <c r="G57" i="5"/>
  <c r="F57" i="5"/>
  <c r="E57" i="5"/>
  <c r="D57" i="5"/>
  <c r="L56" i="5"/>
  <c r="N56" i="5"/>
  <c r="M56" i="5"/>
  <c r="H56" i="5"/>
  <c r="G56" i="5"/>
  <c r="E56" i="5"/>
  <c r="C56" i="5"/>
  <c r="L55" i="5"/>
  <c r="K55" i="5"/>
  <c r="J55" i="5"/>
  <c r="I55" i="5"/>
  <c r="H20" i="5"/>
  <c r="E55" i="5"/>
  <c r="D20" i="5"/>
  <c r="C55" i="5"/>
  <c r="L53" i="5"/>
  <c r="K53" i="5"/>
  <c r="N53" i="5"/>
  <c r="M53" i="5"/>
  <c r="I53" i="5"/>
  <c r="H53" i="5"/>
  <c r="F53" i="5"/>
  <c r="E53" i="5"/>
  <c r="L52" i="5"/>
  <c r="K52" i="5"/>
  <c r="N52" i="5"/>
  <c r="J52" i="5"/>
  <c r="H52" i="5"/>
  <c r="E52" i="5"/>
  <c r="C52" i="5"/>
  <c r="L51" i="5"/>
  <c r="N16" i="5"/>
  <c r="F51" i="5"/>
  <c r="C16" i="5"/>
  <c r="B2" i="5"/>
  <c r="L56" i="4"/>
  <c r="N55" i="4"/>
  <c r="D53" i="4"/>
  <c r="K52" i="4"/>
  <c r="M51" i="4"/>
  <c r="F65" i="4"/>
  <c r="K47" i="4"/>
  <c r="N47" i="4"/>
  <c r="J47" i="4"/>
  <c r="I47" i="4"/>
  <c r="F47" i="4"/>
  <c r="E47" i="4"/>
  <c r="C47" i="4"/>
  <c r="F61" i="4"/>
  <c r="J60" i="4"/>
  <c r="K43" i="4"/>
  <c r="M43" i="4"/>
  <c r="I43" i="4"/>
  <c r="G43" i="4"/>
  <c r="E43" i="4"/>
  <c r="C43" i="4"/>
  <c r="E57" i="4"/>
  <c r="F56" i="4"/>
  <c r="E56" i="4"/>
  <c r="L39" i="4"/>
  <c r="N39" i="4"/>
  <c r="M39" i="4"/>
  <c r="J39" i="4"/>
  <c r="H55" i="4"/>
  <c r="G39" i="4"/>
  <c r="F39" i="4"/>
  <c r="E39" i="4"/>
  <c r="C39" i="4"/>
  <c r="N53" i="4"/>
  <c r="M53" i="4"/>
  <c r="H53" i="4"/>
  <c r="F53" i="4"/>
  <c r="I52" i="4"/>
  <c r="E52" i="4"/>
  <c r="L35" i="4"/>
  <c r="N35" i="4"/>
  <c r="M35" i="4"/>
  <c r="J35" i="4"/>
  <c r="I35" i="4"/>
  <c r="H35" i="4"/>
  <c r="G35" i="4"/>
  <c r="F35" i="4"/>
  <c r="E35" i="4"/>
  <c r="C35" i="4"/>
  <c r="C28" i="4"/>
  <c r="L65" i="4"/>
  <c r="K65" i="4"/>
  <c r="N65" i="4"/>
  <c r="M65" i="4"/>
  <c r="H65" i="4"/>
  <c r="E65" i="4"/>
  <c r="P27" i="4"/>
  <c r="L64" i="4"/>
  <c r="K64" i="4"/>
  <c r="N64" i="4"/>
  <c r="M64" i="4"/>
  <c r="J28" i="4"/>
  <c r="I64" i="4"/>
  <c r="G64" i="4"/>
  <c r="F64" i="4"/>
  <c r="E64" i="4"/>
  <c r="D64" i="4"/>
  <c r="C64" i="4"/>
  <c r="N28" i="4"/>
  <c r="N66" i="4" s="1"/>
  <c r="M63" i="4"/>
  <c r="H28" i="4"/>
  <c r="G63" i="4"/>
  <c r="F63" i="4"/>
  <c r="E63" i="4"/>
  <c r="D28" i="4"/>
  <c r="C63" i="4"/>
  <c r="L61" i="4"/>
  <c r="K61" i="4"/>
  <c r="N61" i="4"/>
  <c r="M61" i="4"/>
  <c r="H61" i="4"/>
  <c r="G61" i="4"/>
  <c r="E61" i="4"/>
  <c r="P23" i="4"/>
  <c r="C61" i="4"/>
  <c r="L60" i="4"/>
  <c r="K24" i="4"/>
  <c r="K62" i="4" s="1"/>
  <c r="N60" i="4"/>
  <c r="M60" i="4"/>
  <c r="I60" i="4"/>
  <c r="H60" i="4"/>
  <c r="D60" i="4"/>
  <c r="L59" i="4"/>
  <c r="K59" i="4"/>
  <c r="M59" i="4"/>
  <c r="H59" i="4"/>
  <c r="G24" i="4"/>
  <c r="F59" i="4"/>
  <c r="E59" i="4"/>
  <c r="C24" i="4"/>
  <c r="J20" i="4"/>
  <c r="F20" i="4"/>
  <c r="L57" i="4"/>
  <c r="K57" i="4"/>
  <c r="N57" i="4"/>
  <c r="M20" i="4"/>
  <c r="H57" i="4"/>
  <c r="F57" i="4"/>
  <c r="D57" i="4"/>
  <c r="L20" i="4"/>
  <c r="L58" i="4" s="1"/>
  <c r="K56" i="4"/>
  <c r="N56" i="4"/>
  <c r="M56" i="4"/>
  <c r="I56" i="4"/>
  <c r="H56" i="4"/>
  <c r="D56" i="4"/>
  <c r="L55" i="4"/>
  <c r="K55" i="4"/>
  <c r="M55" i="4"/>
  <c r="I55" i="4"/>
  <c r="G20" i="4"/>
  <c r="E55" i="4"/>
  <c r="C20" i="4"/>
  <c r="J16" i="4"/>
  <c r="L53" i="4"/>
  <c r="K53" i="4"/>
  <c r="J53" i="4"/>
  <c r="I53" i="4"/>
  <c r="G53" i="4"/>
  <c r="E53" i="4"/>
  <c r="P15" i="4"/>
  <c r="C53" i="4"/>
  <c r="L16" i="4"/>
  <c r="N52" i="4"/>
  <c r="M52" i="4"/>
  <c r="J52" i="4"/>
  <c r="H52" i="4"/>
  <c r="G52" i="4"/>
  <c r="F16" i="4"/>
  <c r="D52" i="4"/>
  <c r="O14" i="4"/>
  <c r="L51" i="4"/>
  <c r="K51" i="4"/>
  <c r="N16" i="4"/>
  <c r="J51" i="4"/>
  <c r="I51" i="4"/>
  <c r="H16" i="4"/>
  <c r="G51" i="4"/>
  <c r="F51" i="4"/>
  <c r="E16" i="4"/>
  <c r="D16" i="4"/>
  <c r="B2" i="4"/>
  <c r="I18" i="1"/>
  <c r="F18" i="1"/>
  <c r="D18" i="1"/>
  <c r="U16" i="1"/>
  <c r="G16" i="1"/>
  <c r="G18" i="1" s="1"/>
  <c r="I17" i="1"/>
  <c r="G13" i="1"/>
  <c r="G14" i="1"/>
  <c r="G12" i="1"/>
  <c r="G11" i="1"/>
  <c r="G10" i="1"/>
  <c r="B2" i="1"/>
  <c r="B2" i="15"/>
  <c r="D56" i="9" l="1"/>
  <c r="P47" i="10"/>
  <c r="E51" i="8"/>
  <c r="I52" i="8"/>
  <c r="O43" i="10"/>
  <c r="C63" i="9"/>
  <c r="O65" i="10"/>
  <c r="O55" i="10"/>
  <c r="P35" i="10"/>
  <c r="O47" i="10"/>
  <c r="P43" i="10"/>
  <c r="O39" i="10"/>
  <c r="P39" i="10"/>
  <c r="O35" i="10"/>
  <c r="J51" i="8"/>
  <c r="F52" i="8"/>
  <c r="G22" i="13"/>
  <c r="E55" i="8"/>
  <c r="E52" i="10"/>
  <c r="M52" i="10"/>
  <c r="D59" i="10"/>
  <c r="D53" i="9"/>
  <c r="L53" i="9"/>
  <c r="H55" i="9"/>
  <c r="D61" i="9"/>
  <c r="C51" i="10"/>
  <c r="J47" i="8"/>
  <c r="M53" i="9"/>
  <c r="E61" i="9"/>
  <c r="I63" i="9"/>
  <c r="D51" i="10"/>
  <c r="I51" i="8"/>
  <c r="F51" i="8"/>
  <c r="J52" i="8"/>
  <c r="I59" i="8"/>
  <c r="H43" i="8"/>
  <c r="H53" i="10"/>
  <c r="O60" i="10"/>
  <c r="F63" i="8"/>
  <c r="G56" i="10"/>
  <c r="O56" i="10"/>
  <c r="P16" i="11"/>
  <c r="P54" i="11" s="1"/>
  <c r="F22" i="13"/>
  <c r="P24" i="11"/>
  <c r="P62" i="11" s="1"/>
  <c r="J59" i="8"/>
  <c r="F60" i="8"/>
  <c r="G64" i="9"/>
  <c r="D53" i="10"/>
  <c r="E57" i="10"/>
  <c r="C60" i="10"/>
  <c r="F61" i="10"/>
  <c r="D64" i="10"/>
  <c r="E53" i="10"/>
  <c r="C16" i="8"/>
  <c r="J53" i="9"/>
  <c r="N55" i="9"/>
  <c r="J61" i="9"/>
  <c r="I61" i="10"/>
  <c r="G64" i="10"/>
  <c r="O64" i="10"/>
  <c r="K48" i="10"/>
  <c r="W13" i="1" s="1"/>
  <c r="C16" i="6"/>
  <c r="C54" i="6" s="1"/>
  <c r="G16" i="8"/>
  <c r="G54" i="8" s="1"/>
  <c r="C47" i="8"/>
  <c r="M47" i="8"/>
  <c r="N53" i="9"/>
  <c r="E61" i="10"/>
  <c r="M61" i="10"/>
  <c r="C64" i="10"/>
  <c r="G48" i="10"/>
  <c r="W11" i="1" s="1"/>
  <c r="I55" i="8"/>
  <c r="I52" i="10"/>
  <c r="D63" i="9"/>
  <c r="G51" i="10"/>
  <c r="O51" i="10"/>
  <c r="C56" i="10"/>
  <c r="K56" i="10"/>
  <c r="E22" i="14"/>
  <c r="P36" i="8"/>
  <c r="O22" i="9"/>
  <c r="O60" i="9" s="1"/>
  <c r="I22" i="13"/>
  <c r="I53" i="9"/>
  <c r="M55" i="9"/>
  <c r="I61" i="9"/>
  <c r="M63" i="9"/>
  <c r="C22" i="13"/>
  <c r="G22" i="14"/>
  <c r="O14" i="9"/>
  <c r="O52" i="9" s="1"/>
  <c r="J56" i="10"/>
  <c r="G16" i="6"/>
  <c r="I57" i="8"/>
  <c r="E59" i="8"/>
  <c r="I60" i="8"/>
  <c r="F61" i="8"/>
  <c r="D22" i="13"/>
  <c r="F22" i="14"/>
  <c r="J57" i="8"/>
  <c r="F59" i="8"/>
  <c r="J60" i="8"/>
  <c r="D43" i="8"/>
  <c r="N43" i="8"/>
  <c r="C53" i="9"/>
  <c r="K53" i="9"/>
  <c r="O18" i="9"/>
  <c r="O56" i="9" s="1"/>
  <c r="C61" i="9"/>
  <c r="K61" i="9"/>
  <c r="O26" i="9"/>
  <c r="O64" i="9" s="1"/>
  <c r="C55" i="10"/>
  <c r="E22" i="13"/>
  <c r="F23" i="13" s="1"/>
  <c r="E23" i="14"/>
  <c r="C24" i="6"/>
  <c r="D51" i="8"/>
  <c r="C24" i="8"/>
  <c r="G24" i="8"/>
  <c r="G15" i="1"/>
  <c r="G17" i="1" s="1"/>
  <c r="P21" i="6"/>
  <c r="F28" i="6"/>
  <c r="F66" i="6" s="1"/>
  <c r="H55" i="8"/>
  <c r="D57" i="8"/>
  <c r="D59" i="8"/>
  <c r="H59" i="8"/>
  <c r="U12" i="1"/>
  <c r="U15" i="1" s="1"/>
  <c r="K17" i="12"/>
  <c r="K18" i="12" s="1"/>
  <c r="O20" i="11"/>
  <c r="O58" i="11" s="1"/>
  <c r="C58" i="11"/>
  <c r="P28" i="11"/>
  <c r="P66" i="11" s="1"/>
  <c r="H22" i="14"/>
  <c r="F17" i="1"/>
  <c r="H18" i="1"/>
  <c r="N61" i="10"/>
  <c r="C61" i="10"/>
  <c r="O61" i="10"/>
  <c r="E64" i="10"/>
  <c r="E48" i="10"/>
  <c r="I48" i="10"/>
  <c r="W10" i="1" s="1"/>
  <c r="M48" i="10"/>
  <c r="W14" i="1" s="1"/>
  <c r="G61" i="10"/>
  <c r="P14" i="9"/>
  <c r="P52" i="9" s="1"/>
  <c r="P17" i="9"/>
  <c r="P55" i="9" s="1"/>
  <c r="P19" i="9"/>
  <c r="P57" i="9" s="1"/>
  <c r="P22" i="9"/>
  <c r="P60" i="9" s="1"/>
  <c r="P27" i="9"/>
  <c r="P65" i="9" s="1"/>
  <c r="E53" i="8"/>
  <c r="F55" i="8"/>
  <c r="J55" i="8"/>
  <c r="D63" i="8"/>
  <c r="O33" i="8"/>
  <c r="C39" i="8"/>
  <c r="M39" i="8"/>
  <c r="F39" i="8"/>
  <c r="L39" i="8"/>
  <c r="E52" i="9"/>
  <c r="I52" i="9"/>
  <c r="M52" i="9"/>
  <c r="E60" i="9"/>
  <c r="I60" i="9"/>
  <c r="I64" i="9"/>
  <c r="F53" i="8"/>
  <c r="I56" i="8"/>
  <c r="D61" i="8"/>
  <c r="E63" i="8"/>
  <c r="I63" i="8"/>
  <c r="H64" i="8"/>
  <c r="D65" i="8"/>
  <c r="P32" i="8"/>
  <c r="P34" i="8"/>
  <c r="O37" i="8"/>
  <c r="O38" i="8"/>
  <c r="O40" i="8"/>
  <c r="O41" i="8"/>
  <c r="E61" i="8"/>
  <c r="I64" i="8"/>
  <c r="E65" i="8"/>
  <c r="I65" i="8"/>
  <c r="E39" i="8"/>
  <c r="I39" i="8"/>
  <c r="K39" i="8"/>
  <c r="P46" i="8"/>
  <c r="G28" i="8"/>
  <c r="C20" i="8"/>
  <c r="C28" i="8"/>
  <c r="M28" i="8"/>
  <c r="M66" i="8" s="1"/>
  <c r="G20" i="8"/>
  <c r="M20" i="8"/>
  <c r="P42" i="8"/>
  <c r="O38" i="7"/>
  <c r="D60" i="6"/>
  <c r="H60" i="6"/>
  <c r="D64" i="6"/>
  <c r="H64" i="6"/>
  <c r="D65" i="6"/>
  <c r="H65" i="6"/>
  <c r="D53" i="6"/>
  <c r="H53" i="6"/>
  <c r="D57" i="6"/>
  <c r="D61" i="6"/>
  <c r="E16" i="6"/>
  <c r="E54" i="6" s="1"/>
  <c r="C55" i="6"/>
  <c r="G55" i="6"/>
  <c r="C56" i="6"/>
  <c r="G56" i="6"/>
  <c r="C60" i="6"/>
  <c r="G60" i="6"/>
  <c r="M60" i="6"/>
  <c r="C61" i="6"/>
  <c r="C63" i="6"/>
  <c r="G63" i="6"/>
  <c r="C64" i="6"/>
  <c r="G64" i="6"/>
  <c r="C65" i="6"/>
  <c r="G65" i="6"/>
  <c r="L52" i="6"/>
  <c r="O33" i="6"/>
  <c r="O34" i="6"/>
  <c r="K57" i="6"/>
  <c r="K63" i="6"/>
  <c r="P32" i="6"/>
  <c r="P33" i="6"/>
  <c r="P34" i="6"/>
  <c r="O37" i="6"/>
  <c r="O38" i="6"/>
  <c r="O40" i="6"/>
  <c r="O41" i="6"/>
  <c r="O44" i="6"/>
  <c r="O45" i="6"/>
  <c r="O46" i="6"/>
  <c r="O47" i="5"/>
  <c r="O39" i="5"/>
  <c r="J51" i="5"/>
  <c r="F55" i="5"/>
  <c r="F59" i="5"/>
  <c r="M59" i="5"/>
  <c r="C60" i="5"/>
  <c r="H16" i="5"/>
  <c r="H29" i="5" s="1"/>
  <c r="E48" i="4"/>
  <c r="O33" i="4"/>
  <c r="O52" i="4" s="1"/>
  <c r="O34" i="4"/>
  <c r="O38" i="4"/>
  <c r="O41" i="4"/>
  <c r="O42" i="4"/>
  <c r="O45" i="4"/>
  <c r="O46" i="4"/>
  <c r="G62" i="4"/>
  <c r="P32" i="7"/>
  <c r="P33" i="7"/>
  <c r="P37" i="7"/>
  <c r="N11" i="12"/>
  <c r="N15" i="12"/>
  <c r="N19" i="12"/>
  <c r="N13" i="12"/>
  <c r="P40" i="7"/>
  <c r="P43" i="7" s="1"/>
  <c r="J57" i="7"/>
  <c r="F59" i="7"/>
  <c r="J59" i="7"/>
  <c r="J60" i="7"/>
  <c r="O41" i="7"/>
  <c r="O44" i="7"/>
  <c r="O45" i="7"/>
  <c r="L48" i="7"/>
  <c r="O36" i="7"/>
  <c r="N48" i="7"/>
  <c r="P34" i="7"/>
  <c r="D48" i="7"/>
  <c r="P38" i="7"/>
  <c r="I48" i="7"/>
  <c r="Q10" i="1" s="1"/>
  <c r="F48" i="7"/>
  <c r="J48" i="7"/>
  <c r="J58" i="7"/>
  <c r="F57" i="7"/>
  <c r="P36" i="7"/>
  <c r="D55" i="7"/>
  <c r="H55" i="7"/>
  <c r="D61" i="7"/>
  <c r="H61" i="7"/>
  <c r="N61" i="7"/>
  <c r="H63" i="7"/>
  <c r="N63" i="7"/>
  <c r="H64" i="7"/>
  <c r="D65" i="7"/>
  <c r="H65" i="7"/>
  <c r="N65" i="7"/>
  <c r="O46" i="7"/>
  <c r="D15" i="8"/>
  <c r="D53" i="8" s="1"/>
  <c r="D26" i="8"/>
  <c r="D64" i="8" s="1"/>
  <c r="P14" i="7"/>
  <c r="P18" i="7"/>
  <c r="C52" i="10"/>
  <c r="O52" i="10"/>
  <c r="F53" i="10"/>
  <c r="J53" i="10"/>
  <c r="D56" i="10"/>
  <c r="H56" i="10"/>
  <c r="L56" i="10"/>
  <c r="C57" i="10"/>
  <c r="G57" i="10"/>
  <c r="K57" i="10"/>
  <c r="O57" i="10"/>
  <c r="I60" i="10"/>
  <c r="M60" i="10"/>
  <c r="D61" i="10"/>
  <c r="H61" i="10"/>
  <c r="C63" i="10"/>
  <c r="O63" i="10"/>
  <c r="F48" i="10"/>
  <c r="J48" i="10"/>
  <c r="N48" i="10"/>
  <c r="D48" i="10"/>
  <c r="H48" i="10"/>
  <c r="L48" i="10"/>
  <c r="O28" i="11"/>
  <c r="O66" i="11" s="1"/>
  <c r="C29" i="11"/>
  <c r="O24" i="11"/>
  <c r="O62" i="11" s="1"/>
  <c r="H29" i="11"/>
  <c r="H67" i="11" s="1"/>
  <c r="D29" i="11"/>
  <c r="D67" i="11" s="1"/>
  <c r="L29" i="11"/>
  <c r="L67" i="11" s="1"/>
  <c r="E29" i="11"/>
  <c r="E67" i="11" s="1"/>
  <c r="I29" i="11"/>
  <c r="M29" i="11"/>
  <c r="F29" i="11"/>
  <c r="F67" i="11" s="1"/>
  <c r="J29" i="11"/>
  <c r="J67" i="11" s="1"/>
  <c r="N29" i="11"/>
  <c r="N67" i="11" s="1"/>
  <c r="G29" i="11"/>
  <c r="K29" i="11"/>
  <c r="O16" i="11"/>
  <c r="O54" i="11" s="1"/>
  <c r="F52" i="10"/>
  <c r="F57" i="10"/>
  <c r="D60" i="10"/>
  <c r="K22" i="13"/>
  <c r="O22" i="13"/>
  <c r="S22" i="13"/>
  <c r="I22" i="14"/>
  <c r="F55" i="4"/>
  <c r="J56" i="4"/>
  <c r="J57" i="4"/>
  <c r="O37" i="4"/>
  <c r="C56" i="4"/>
  <c r="G56" i="4"/>
  <c r="C57" i="4"/>
  <c r="G57" i="4"/>
  <c r="F58" i="4"/>
  <c r="E60" i="4"/>
  <c r="I61" i="4"/>
  <c r="I63" i="4"/>
  <c r="K63" i="4"/>
  <c r="I65" i="4"/>
  <c r="P33" i="4"/>
  <c r="P34" i="4"/>
  <c r="P53" i="4" s="1"/>
  <c r="P36" i="4"/>
  <c r="P37" i="4"/>
  <c r="P38" i="4"/>
  <c r="P40" i="4"/>
  <c r="P41" i="4"/>
  <c r="P45" i="4"/>
  <c r="P32" i="5"/>
  <c r="P34" i="5"/>
  <c r="P36" i="5"/>
  <c r="P38" i="5"/>
  <c r="P40" i="5"/>
  <c r="P42" i="5"/>
  <c r="P44" i="5"/>
  <c r="P46" i="5"/>
  <c r="O14" i="6"/>
  <c r="O15" i="6"/>
  <c r="G53" i="6"/>
  <c r="F16" i="6"/>
  <c r="F56" i="6"/>
  <c r="J56" i="6"/>
  <c r="F57" i="6"/>
  <c r="J57" i="6"/>
  <c r="L57" i="6"/>
  <c r="F59" i="6"/>
  <c r="J59" i="6"/>
  <c r="F60" i="6"/>
  <c r="J60" i="6"/>
  <c r="F61" i="6"/>
  <c r="J61" i="6"/>
  <c r="F63" i="6"/>
  <c r="J63" i="6"/>
  <c r="L63" i="6"/>
  <c r="F64" i="6"/>
  <c r="O33" i="7"/>
  <c r="J55" i="4"/>
  <c r="J58" i="4"/>
  <c r="J59" i="4"/>
  <c r="F60" i="4"/>
  <c r="J66" i="4"/>
  <c r="J65" i="4"/>
  <c r="H56" i="7"/>
  <c r="N56" i="7"/>
  <c r="D60" i="7"/>
  <c r="P22" i="7"/>
  <c r="P60" i="7" s="1"/>
  <c r="L47" i="4"/>
  <c r="F65" i="6"/>
  <c r="L65" i="6"/>
  <c r="P36" i="6"/>
  <c r="P37" i="6"/>
  <c r="P42" i="6"/>
  <c r="P44" i="6"/>
  <c r="P46" i="6"/>
  <c r="G51" i="7"/>
  <c r="C52" i="7"/>
  <c r="G52" i="7"/>
  <c r="O15" i="7"/>
  <c r="G53" i="7"/>
  <c r="M53" i="7"/>
  <c r="C55" i="7"/>
  <c r="G55" i="7"/>
  <c r="G56" i="7"/>
  <c r="M56" i="7"/>
  <c r="C57" i="7"/>
  <c r="G57" i="7"/>
  <c r="M57" i="7"/>
  <c r="C24" i="7"/>
  <c r="C62" i="7" s="1"/>
  <c r="G24" i="7"/>
  <c r="G62" i="7" s="1"/>
  <c r="M24" i="7"/>
  <c r="M62" i="7" s="1"/>
  <c r="G60" i="7"/>
  <c r="F61" i="7"/>
  <c r="J61" i="7"/>
  <c r="J63" i="7"/>
  <c r="J64" i="7"/>
  <c r="F65" i="7"/>
  <c r="J65" i="7"/>
  <c r="E48" i="7"/>
  <c r="K48" i="7"/>
  <c r="Q13" i="1" s="1"/>
  <c r="P44" i="7"/>
  <c r="P45" i="7"/>
  <c r="P46" i="7"/>
  <c r="C52" i="8"/>
  <c r="C53" i="8"/>
  <c r="C56" i="8"/>
  <c r="M56" i="8"/>
  <c r="C57" i="8"/>
  <c r="C60" i="8"/>
  <c r="C61" i="8"/>
  <c r="M61" i="8"/>
  <c r="C64" i="8"/>
  <c r="G64" i="8"/>
  <c r="C65" i="8"/>
  <c r="O32" i="8"/>
  <c r="F35" i="8"/>
  <c r="J35" i="8"/>
  <c r="L35" i="8"/>
  <c r="J39" i="8"/>
  <c r="P44" i="8"/>
  <c r="P45" i="8"/>
  <c r="F52" i="9"/>
  <c r="N56" i="9"/>
  <c r="F60" i="9"/>
  <c r="D52" i="10"/>
  <c r="C53" i="10"/>
  <c r="G53" i="10"/>
  <c r="K53" i="10"/>
  <c r="O53" i="10"/>
  <c r="E56" i="10"/>
  <c r="I56" i="10"/>
  <c r="L57" i="10"/>
  <c r="C59" i="10"/>
  <c r="G59" i="10"/>
  <c r="O59" i="10"/>
  <c r="F65" i="10"/>
  <c r="M22" i="13"/>
  <c r="Q22" i="13"/>
  <c r="K22" i="14"/>
  <c r="O22" i="14"/>
  <c r="S22" i="14"/>
  <c r="M17" i="12"/>
  <c r="M18" i="12" s="1"/>
  <c r="J22" i="13"/>
  <c r="N22" i="13"/>
  <c r="G43" i="8"/>
  <c r="M43" i="8"/>
  <c r="M62" i="8" s="1"/>
  <c r="P37" i="8"/>
  <c r="P38" i="8"/>
  <c r="O45" i="8"/>
  <c r="G47" i="8"/>
  <c r="O46" i="8"/>
  <c r="O48" i="9"/>
  <c r="J22" i="14"/>
  <c r="B10" i="15"/>
  <c r="B11" i="15"/>
  <c r="B12" i="15"/>
  <c r="B16" i="15"/>
  <c r="B18" i="15"/>
  <c r="B13" i="15"/>
  <c r="B14" i="15"/>
  <c r="B15" i="15"/>
  <c r="B17" i="15"/>
  <c r="B19" i="15"/>
  <c r="B20" i="15"/>
  <c r="K35" i="4"/>
  <c r="O35" i="4" s="1"/>
  <c r="I39" i="4"/>
  <c r="I48" i="4" s="1"/>
  <c r="K10" i="1" s="1"/>
  <c r="K39" i="4"/>
  <c r="D39" i="4"/>
  <c r="H43" i="4"/>
  <c r="N43" i="4"/>
  <c r="N48" i="4" s="1"/>
  <c r="G47" i="4"/>
  <c r="G48" i="4" s="1"/>
  <c r="K11" i="1" s="1"/>
  <c r="M47" i="4"/>
  <c r="M48" i="4" s="1"/>
  <c r="K14" i="1" s="1"/>
  <c r="J20" i="5"/>
  <c r="J58" i="5" s="1"/>
  <c r="J28" i="5"/>
  <c r="J66" i="5" s="1"/>
  <c r="D35" i="5"/>
  <c r="H35" i="5"/>
  <c r="N35" i="5"/>
  <c r="D39" i="5"/>
  <c r="D58" i="5" s="1"/>
  <c r="H39" i="5"/>
  <c r="H58" i="5" s="1"/>
  <c r="N39" i="5"/>
  <c r="D43" i="5"/>
  <c r="H43" i="5"/>
  <c r="H62" i="5" s="1"/>
  <c r="N43" i="5"/>
  <c r="N62" i="5" s="1"/>
  <c r="D47" i="5"/>
  <c r="H47" i="5"/>
  <c r="H66" i="5" s="1"/>
  <c r="C65" i="5"/>
  <c r="J28" i="6"/>
  <c r="J66" i="6" s="1"/>
  <c r="N35" i="6"/>
  <c r="G39" i="6"/>
  <c r="G48" i="6" s="1"/>
  <c r="O11" i="1" s="1"/>
  <c r="M39" i="6"/>
  <c r="D39" i="6"/>
  <c r="H43" i="6"/>
  <c r="N43" i="6"/>
  <c r="D47" i="6"/>
  <c r="H47" i="6"/>
  <c r="N47" i="6"/>
  <c r="I20" i="7"/>
  <c r="I58" i="7" s="1"/>
  <c r="H24" i="7"/>
  <c r="H62" i="7" s="1"/>
  <c r="N24" i="7"/>
  <c r="N62" i="7" s="1"/>
  <c r="E24" i="7"/>
  <c r="E62" i="7" s="1"/>
  <c r="C51" i="7"/>
  <c r="C53" i="7"/>
  <c r="E16" i="8"/>
  <c r="K16" i="8"/>
  <c r="E20" i="8"/>
  <c r="K20" i="8"/>
  <c r="E24" i="8"/>
  <c r="H54" i="4"/>
  <c r="N54" i="4"/>
  <c r="H39" i="4"/>
  <c r="H47" i="4"/>
  <c r="H66" i="4" s="1"/>
  <c r="C51" i="5"/>
  <c r="G51" i="5"/>
  <c r="E35" i="5"/>
  <c r="I35" i="5"/>
  <c r="K35" i="5"/>
  <c r="C53" i="5"/>
  <c r="G53" i="5"/>
  <c r="G55" i="5"/>
  <c r="M55" i="5"/>
  <c r="E39" i="5"/>
  <c r="I56" i="5"/>
  <c r="K56" i="5"/>
  <c r="G59" i="5"/>
  <c r="E60" i="5"/>
  <c r="I43" i="5"/>
  <c r="K43" i="5"/>
  <c r="C61" i="5"/>
  <c r="G61" i="5"/>
  <c r="M61" i="5"/>
  <c r="G63" i="5"/>
  <c r="E47" i="5"/>
  <c r="I64" i="5"/>
  <c r="K64" i="5"/>
  <c r="C57" i="5"/>
  <c r="C59" i="5"/>
  <c r="I16" i="6"/>
  <c r="M16" i="6"/>
  <c r="M54" i="6" s="1"/>
  <c r="I51" i="6"/>
  <c r="I35" i="6"/>
  <c r="I48" i="6" s="1"/>
  <c r="O10" i="1" s="1"/>
  <c r="H39" i="6"/>
  <c r="N39" i="6"/>
  <c r="C43" i="6"/>
  <c r="M43" i="6"/>
  <c r="E47" i="6"/>
  <c r="E48" i="6" s="1"/>
  <c r="K47" i="6"/>
  <c r="K48" i="6" s="1"/>
  <c r="O13" i="1" s="1"/>
  <c r="E51" i="6"/>
  <c r="K24" i="7"/>
  <c r="K62" i="7" s="1"/>
  <c r="P14" i="8"/>
  <c r="D52" i="8"/>
  <c r="P22" i="8"/>
  <c r="D60" i="8"/>
  <c r="J28" i="8"/>
  <c r="J63" i="8"/>
  <c r="L28" i="8"/>
  <c r="L66" i="8" s="1"/>
  <c r="L63" i="8"/>
  <c r="J16" i="9"/>
  <c r="J54" i="9" s="1"/>
  <c r="N16" i="9"/>
  <c r="N54" i="9" s="1"/>
  <c r="C16" i="10"/>
  <c r="C54" i="10" s="1"/>
  <c r="K16" i="10"/>
  <c r="K54" i="10" s="1"/>
  <c r="G20" i="10"/>
  <c r="G58" i="10" s="1"/>
  <c r="O20" i="10"/>
  <c r="O58" i="10" s="1"/>
  <c r="C24" i="10"/>
  <c r="C62" i="10" s="1"/>
  <c r="K24" i="10"/>
  <c r="K62" i="10" s="1"/>
  <c r="G28" i="10"/>
  <c r="G66" i="10" s="1"/>
  <c r="O28" i="10"/>
  <c r="O66" i="10" s="1"/>
  <c r="H51" i="10"/>
  <c r="J52" i="10"/>
  <c r="N52" i="10"/>
  <c r="D55" i="10"/>
  <c r="F56" i="10"/>
  <c r="D57" i="10"/>
  <c r="H57" i="10"/>
  <c r="H59" i="10"/>
  <c r="J60" i="10"/>
  <c r="D63" i="10"/>
  <c r="F64" i="10"/>
  <c r="D65" i="10"/>
  <c r="M22" i="14"/>
  <c r="Q22" i="14"/>
  <c r="K24" i="8"/>
  <c r="E28" i="8"/>
  <c r="D35" i="8"/>
  <c r="H35" i="8"/>
  <c r="N35" i="8"/>
  <c r="G35" i="8"/>
  <c r="M35" i="8"/>
  <c r="M54" i="8" s="1"/>
  <c r="G39" i="8"/>
  <c r="P40" i="8"/>
  <c r="F43" i="8"/>
  <c r="J43" i="8"/>
  <c r="L43" i="8"/>
  <c r="E47" i="8"/>
  <c r="I47" i="8"/>
  <c r="K47" i="8"/>
  <c r="F47" i="8"/>
  <c r="L47" i="8"/>
  <c r="E16" i="9"/>
  <c r="E54" i="9" s="1"/>
  <c r="F20" i="9"/>
  <c r="F58" i="9" s="1"/>
  <c r="J24" i="9"/>
  <c r="J62" i="9" s="1"/>
  <c r="N24" i="9"/>
  <c r="N62" i="9" s="1"/>
  <c r="J28" i="9"/>
  <c r="J66" i="9" s="1"/>
  <c r="D52" i="9"/>
  <c r="J57" i="9"/>
  <c r="D60" i="9"/>
  <c r="F61" i="9"/>
  <c r="G16" i="10"/>
  <c r="O16" i="10"/>
  <c r="C20" i="10"/>
  <c r="C58" i="10" s="1"/>
  <c r="K20" i="10"/>
  <c r="K58" i="10" s="1"/>
  <c r="G24" i="10"/>
  <c r="G62" i="10" s="1"/>
  <c r="O24" i="10"/>
  <c r="O62" i="10" s="1"/>
  <c r="C28" i="10"/>
  <c r="C66" i="10" s="1"/>
  <c r="K28" i="10"/>
  <c r="K66" i="10" s="1"/>
  <c r="N12" i="12"/>
  <c r="N14" i="12"/>
  <c r="L22" i="14"/>
  <c r="N22" i="14"/>
  <c r="P22" i="14"/>
  <c r="R22" i="14"/>
  <c r="T22" i="14"/>
  <c r="B21" i="15"/>
  <c r="F54" i="4"/>
  <c r="C48" i="4"/>
  <c r="C58" i="4"/>
  <c r="G58" i="4"/>
  <c r="M58" i="4"/>
  <c r="O43" i="4"/>
  <c r="E54" i="4"/>
  <c r="C62" i="4"/>
  <c r="L54" i="4"/>
  <c r="O15" i="4"/>
  <c r="M16" i="4"/>
  <c r="P19" i="4"/>
  <c r="D24" i="4"/>
  <c r="N24" i="4"/>
  <c r="I24" i="4"/>
  <c r="I62" i="4" s="1"/>
  <c r="L24" i="4"/>
  <c r="L62" i="4" s="1"/>
  <c r="E28" i="4"/>
  <c r="E66" i="4" s="1"/>
  <c r="E51" i="4"/>
  <c r="C55" i="4"/>
  <c r="M57" i="4"/>
  <c r="G59" i="4"/>
  <c r="N63" i="4"/>
  <c r="G16" i="4"/>
  <c r="K16" i="4"/>
  <c r="D20" i="4"/>
  <c r="H20" i="4"/>
  <c r="N20" i="4"/>
  <c r="N58" i="4" s="1"/>
  <c r="I57" i="4"/>
  <c r="I20" i="4"/>
  <c r="I59" i="4"/>
  <c r="C60" i="4"/>
  <c r="G60" i="4"/>
  <c r="O22" i="4"/>
  <c r="J61" i="4"/>
  <c r="E24" i="4"/>
  <c r="E62" i="4" s="1"/>
  <c r="J24" i="4"/>
  <c r="J29" i="4" s="1"/>
  <c r="J63" i="4"/>
  <c r="L63" i="4"/>
  <c r="H64" i="4"/>
  <c r="C65" i="4"/>
  <c r="G65" i="4"/>
  <c r="O27" i="4"/>
  <c r="F28" i="4"/>
  <c r="F66" i="4" s="1"/>
  <c r="M28" i="4"/>
  <c r="M66" i="4" s="1"/>
  <c r="P32" i="4"/>
  <c r="D35" i="4"/>
  <c r="D54" i="4" s="1"/>
  <c r="F43" i="4"/>
  <c r="F48" i="4" s="1"/>
  <c r="J43" i="4"/>
  <c r="J48" i="4" s="1"/>
  <c r="L43" i="4"/>
  <c r="O44" i="4"/>
  <c r="P46" i="4"/>
  <c r="P65" i="4" s="1"/>
  <c r="N51" i="4"/>
  <c r="C52" i="4"/>
  <c r="L52" i="4"/>
  <c r="D55" i="4"/>
  <c r="D61" i="4"/>
  <c r="D65" i="4"/>
  <c r="G52" i="5"/>
  <c r="G16" i="5"/>
  <c r="M52" i="5"/>
  <c r="M16" i="5"/>
  <c r="O52" i="5"/>
  <c r="G54" i="6"/>
  <c r="C16" i="4"/>
  <c r="I16" i="4"/>
  <c r="O18" i="4"/>
  <c r="E20" i="4"/>
  <c r="E58" i="4" s="1"/>
  <c r="O23" i="4"/>
  <c r="F24" i="4"/>
  <c r="M24" i="4"/>
  <c r="M62" i="4" s="1"/>
  <c r="O25" i="4"/>
  <c r="G28" i="4"/>
  <c r="G66" i="4" s="1"/>
  <c r="K28" i="4"/>
  <c r="K66" i="4" s="1"/>
  <c r="O40" i="4"/>
  <c r="P42" i="4"/>
  <c r="P61" i="4" s="1"/>
  <c r="P44" i="4"/>
  <c r="D47" i="4"/>
  <c r="C51" i="4"/>
  <c r="H51" i="4"/>
  <c r="C59" i="4"/>
  <c r="K60" i="4"/>
  <c r="D63" i="4"/>
  <c r="N54" i="5"/>
  <c r="F48" i="5"/>
  <c r="J48" i="5"/>
  <c r="L48" i="5"/>
  <c r="O19" i="4"/>
  <c r="O21" i="4"/>
  <c r="P25" i="4"/>
  <c r="C66" i="4"/>
  <c r="I28" i="4"/>
  <c r="I66" i="4" s="1"/>
  <c r="L28" i="4"/>
  <c r="O36" i="4"/>
  <c r="D43" i="4"/>
  <c r="D51" i="4"/>
  <c r="F52" i="4"/>
  <c r="J54" i="4"/>
  <c r="G55" i="4"/>
  <c r="D59" i="4"/>
  <c r="N59" i="4"/>
  <c r="H63" i="4"/>
  <c r="J64" i="4"/>
  <c r="E51" i="5"/>
  <c r="E16" i="5"/>
  <c r="I51" i="5"/>
  <c r="I16" i="5"/>
  <c r="K51" i="5"/>
  <c r="K16" i="5"/>
  <c r="O59" i="5"/>
  <c r="K20" i="4"/>
  <c r="K58" i="4" s="1"/>
  <c r="H24" i="4"/>
  <c r="P21" i="4"/>
  <c r="O26" i="4"/>
  <c r="O32" i="4"/>
  <c r="O51" i="4" s="1"/>
  <c r="P14" i="4"/>
  <c r="P18" i="4"/>
  <c r="P22" i="4"/>
  <c r="P26" i="4"/>
  <c r="E20" i="5"/>
  <c r="I20" i="5"/>
  <c r="K20" i="5"/>
  <c r="E24" i="5"/>
  <c r="I24" i="5"/>
  <c r="K24" i="5"/>
  <c r="K62" i="5" s="1"/>
  <c r="E28" i="5"/>
  <c r="I28" i="5"/>
  <c r="K28" i="5"/>
  <c r="C35" i="5"/>
  <c r="C54" i="5" s="1"/>
  <c r="G35" i="5"/>
  <c r="C39" i="5"/>
  <c r="G39" i="5"/>
  <c r="M39" i="5"/>
  <c r="M48" i="5" s="1"/>
  <c r="M14" i="1" s="1"/>
  <c r="C43" i="5"/>
  <c r="G43" i="5"/>
  <c r="I47" i="5"/>
  <c r="K47" i="5"/>
  <c r="C47" i="5"/>
  <c r="G47" i="5"/>
  <c r="D53" i="5"/>
  <c r="H55" i="5"/>
  <c r="J56" i="5"/>
  <c r="D61" i="5"/>
  <c r="H63" i="5"/>
  <c r="J64" i="5"/>
  <c r="F53" i="6"/>
  <c r="J53" i="6"/>
  <c r="J16" i="6"/>
  <c r="F55" i="6"/>
  <c r="J55" i="6"/>
  <c r="D56" i="6"/>
  <c r="H56" i="6"/>
  <c r="C57" i="6"/>
  <c r="O19" i="6"/>
  <c r="F20" i="6"/>
  <c r="M20" i="6"/>
  <c r="M58" i="6" s="1"/>
  <c r="C59" i="6"/>
  <c r="G59" i="6"/>
  <c r="O21" i="6"/>
  <c r="E60" i="6"/>
  <c r="I60" i="6"/>
  <c r="P23" i="6"/>
  <c r="G24" i="6"/>
  <c r="G62" i="6" s="1"/>
  <c r="K24" i="6"/>
  <c r="K62" i="6" s="1"/>
  <c r="D63" i="6"/>
  <c r="D28" i="6"/>
  <c r="H63" i="6"/>
  <c r="H28" i="6"/>
  <c r="N63" i="6"/>
  <c r="N28" i="6"/>
  <c r="P25" i="6"/>
  <c r="E65" i="6"/>
  <c r="K65" i="6"/>
  <c r="C28" i="6"/>
  <c r="I28" i="6"/>
  <c r="I66" i="6" s="1"/>
  <c r="L28" i="6"/>
  <c r="L66" i="6" s="1"/>
  <c r="F35" i="6"/>
  <c r="J35" i="6"/>
  <c r="L35" i="6"/>
  <c r="O36" i="6"/>
  <c r="P38" i="6"/>
  <c r="P40" i="6"/>
  <c r="C47" i="6"/>
  <c r="G51" i="6"/>
  <c r="I52" i="6"/>
  <c r="C53" i="6"/>
  <c r="M53" i="6"/>
  <c r="F16" i="5"/>
  <c r="J16" i="5"/>
  <c r="L16" i="5"/>
  <c r="F20" i="5"/>
  <c r="F58" i="5" s="1"/>
  <c r="L20" i="5"/>
  <c r="L58" i="5" s="1"/>
  <c r="F24" i="5"/>
  <c r="F62" i="5" s="1"/>
  <c r="J24" i="5"/>
  <c r="J62" i="5" s="1"/>
  <c r="L24" i="5"/>
  <c r="L62" i="5" s="1"/>
  <c r="F28" i="5"/>
  <c r="F66" i="5" s="1"/>
  <c r="L28" i="5"/>
  <c r="L66" i="5" s="1"/>
  <c r="P33" i="5"/>
  <c r="P52" i="5" s="1"/>
  <c r="P37" i="5"/>
  <c r="P41" i="5"/>
  <c r="P45" i="5"/>
  <c r="N51" i="5"/>
  <c r="D52" i="5"/>
  <c r="I52" i="5"/>
  <c r="D55" i="5"/>
  <c r="N59" i="5"/>
  <c r="D60" i="5"/>
  <c r="D63" i="5"/>
  <c r="O17" i="6"/>
  <c r="P19" i="6"/>
  <c r="G20" i="6"/>
  <c r="K20" i="6"/>
  <c r="K58" i="6" s="1"/>
  <c r="D59" i="6"/>
  <c r="D24" i="6"/>
  <c r="H59" i="6"/>
  <c r="H24" i="6"/>
  <c r="N59" i="6"/>
  <c r="N24" i="6"/>
  <c r="I24" i="6"/>
  <c r="I62" i="6" s="1"/>
  <c r="L24" i="6"/>
  <c r="L62" i="6" s="1"/>
  <c r="O26" i="6"/>
  <c r="E28" i="6"/>
  <c r="O32" i="6"/>
  <c r="D43" i="6"/>
  <c r="P41" i="6"/>
  <c r="O42" i="6"/>
  <c r="C52" i="6"/>
  <c r="O56" i="5"/>
  <c r="C20" i="5"/>
  <c r="G20" i="5"/>
  <c r="M20" i="5"/>
  <c r="O60" i="5"/>
  <c r="C24" i="5"/>
  <c r="G24" i="5"/>
  <c r="M24" i="5"/>
  <c r="M62" i="5" s="1"/>
  <c r="O64" i="5"/>
  <c r="C28" i="5"/>
  <c r="G28" i="5"/>
  <c r="M28" i="5"/>
  <c r="M66" i="5" s="1"/>
  <c r="O32" i="5"/>
  <c r="O34" i="5"/>
  <c r="I39" i="5"/>
  <c r="K39" i="5"/>
  <c r="O42" i="5"/>
  <c r="O61" i="5" s="1"/>
  <c r="E43" i="5"/>
  <c r="H59" i="5"/>
  <c r="O13" i="6"/>
  <c r="P15" i="6"/>
  <c r="K16" i="6"/>
  <c r="D55" i="6"/>
  <c r="D20" i="6"/>
  <c r="H55" i="6"/>
  <c r="H20" i="6"/>
  <c r="N55" i="6"/>
  <c r="N20" i="6"/>
  <c r="P17" i="6"/>
  <c r="C20" i="6"/>
  <c r="I20" i="6"/>
  <c r="I58" i="6" s="1"/>
  <c r="L20" i="6"/>
  <c r="O22" i="6"/>
  <c r="E24" i="6"/>
  <c r="E62" i="6" s="1"/>
  <c r="J24" i="6"/>
  <c r="J62" i="6" s="1"/>
  <c r="O27" i="6"/>
  <c r="O65" i="6" s="1"/>
  <c r="M28" i="6"/>
  <c r="M66" i="6" s="1"/>
  <c r="C51" i="6"/>
  <c r="D16" i="5"/>
  <c r="N20" i="5"/>
  <c r="D24" i="5"/>
  <c r="N28" i="5"/>
  <c r="N66" i="5" s="1"/>
  <c r="D51" i="6"/>
  <c r="D16" i="6"/>
  <c r="H51" i="6"/>
  <c r="H16" i="6"/>
  <c r="N51" i="6"/>
  <c r="N16" i="6"/>
  <c r="P13" i="6"/>
  <c r="L16" i="6"/>
  <c r="O18" i="6"/>
  <c r="E20" i="6"/>
  <c r="E58" i="6" s="1"/>
  <c r="J20" i="6"/>
  <c r="O23" i="6"/>
  <c r="F24" i="6"/>
  <c r="F62" i="6" s="1"/>
  <c r="M24" i="6"/>
  <c r="O25" i="6"/>
  <c r="P27" i="6"/>
  <c r="G28" i="6"/>
  <c r="G66" i="6" s="1"/>
  <c r="K28" i="6"/>
  <c r="F39" i="6"/>
  <c r="J39" i="6"/>
  <c r="L39" i="6"/>
  <c r="P14" i="6"/>
  <c r="P18" i="6"/>
  <c r="P22" i="6"/>
  <c r="P26" i="6"/>
  <c r="E16" i="7"/>
  <c r="I16" i="7"/>
  <c r="K16" i="7"/>
  <c r="C20" i="7"/>
  <c r="G20" i="7"/>
  <c r="G58" i="7" s="1"/>
  <c r="M20" i="7"/>
  <c r="M58" i="7" s="1"/>
  <c r="O17" i="7"/>
  <c r="D57" i="7"/>
  <c r="H57" i="7"/>
  <c r="N57" i="7"/>
  <c r="P19" i="7"/>
  <c r="H20" i="7"/>
  <c r="K20" i="7"/>
  <c r="K58" i="7" s="1"/>
  <c r="D59" i="7"/>
  <c r="H59" i="7"/>
  <c r="N59" i="7"/>
  <c r="P21" i="7"/>
  <c r="E61" i="7"/>
  <c r="I61" i="7"/>
  <c r="D24" i="7"/>
  <c r="D62" i="7" s="1"/>
  <c r="I24" i="7"/>
  <c r="I62" i="7" s="1"/>
  <c r="L24" i="7"/>
  <c r="L62" i="7" s="1"/>
  <c r="G64" i="7"/>
  <c r="P26" i="7"/>
  <c r="E28" i="7"/>
  <c r="E66" i="7" s="1"/>
  <c r="J28" i="7"/>
  <c r="J66" i="7" s="1"/>
  <c r="O32" i="7"/>
  <c r="O51" i="7" s="1"/>
  <c r="C48" i="7"/>
  <c r="M48" i="7"/>
  <c r="Q14" i="1" s="1"/>
  <c r="O40" i="7"/>
  <c r="D56" i="7"/>
  <c r="N60" i="7"/>
  <c r="P15" i="7"/>
  <c r="F16" i="7"/>
  <c r="J16" i="7"/>
  <c r="L16" i="7"/>
  <c r="P17" i="7"/>
  <c r="D20" i="7"/>
  <c r="L20" i="7"/>
  <c r="L58" i="7" s="1"/>
  <c r="J24" i="7"/>
  <c r="J62" i="7" s="1"/>
  <c r="O27" i="7"/>
  <c r="F28" i="7"/>
  <c r="F66" i="7" s="1"/>
  <c r="N28" i="7"/>
  <c r="N66" i="7" s="1"/>
  <c r="N51" i="7"/>
  <c r="D52" i="7"/>
  <c r="C59" i="7"/>
  <c r="M59" i="7"/>
  <c r="K60" i="7"/>
  <c r="P45" i="6"/>
  <c r="O14" i="7"/>
  <c r="C16" i="7"/>
  <c r="G16" i="7"/>
  <c r="M16" i="7"/>
  <c r="M54" i="7" s="1"/>
  <c r="E20" i="7"/>
  <c r="E58" i="7" s="1"/>
  <c r="O23" i="7"/>
  <c r="F24" i="7"/>
  <c r="F62" i="7" s="1"/>
  <c r="C63" i="7"/>
  <c r="C28" i="7"/>
  <c r="G63" i="7"/>
  <c r="G28" i="7"/>
  <c r="G66" i="7" s="1"/>
  <c r="M63" i="7"/>
  <c r="M28" i="7"/>
  <c r="M66" i="7" s="1"/>
  <c r="O25" i="7"/>
  <c r="P27" i="7"/>
  <c r="H28" i="7"/>
  <c r="K28" i="7"/>
  <c r="K66" i="7" s="1"/>
  <c r="H51" i="7"/>
  <c r="F55" i="7"/>
  <c r="H60" i="7"/>
  <c r="D16" i="7"/>
  <c r="O19" i="7"/>
  <c r="N20" i="7"/>
  <c r="N58" i="7" s="1"/>
  <c r="O21" i="7"/>
  <c r="P23" i="7"/>
  <c r="P61" i="7" s="1"/>
  <c r="P25" i="7"/>
  <c r="D28" i="7"/>
  <c r="D66" i="7" s="1"/>
  <c r="I28" i="7"/>
  <c r="I66" i="7" s="1"/>
  <c r="L28" i="7"/>
  <c r="L66" i="7" s="1"/>
  <c r="O34" i="7"/>
  <c r="O42" i="7"/>
  <c r="G59" i="7"/>
  <c r="O18" i="7"/>
  <c r="O56" i="7" s="1"/>
  <c r="O22" i="7"/>
  <c r="O26" i="7"/>
  <c r="D16" i="8"/>
  <c r="H16" i="8"/>
  <c r="N16" i="8"/>
  <c r="H20" i="8"/>
  <c r="N20" i="8"/>
  <c r="D24" i="8"/>
  <c r="H24" i="8"/>
  <c r="H62" i="8" s="1"/>
  <c r="N24" i="8"/>
  <c r="N62" i="8" s="1"/>
  <c r="I28" i="8"/>
  <c r="C35" i="8"/>
  <c r="D39" i="8"/>
  <c r="H39" i="8"/>
  <c r="N39" i="8"/>
  <c r="C43" i="8"/>
  <c r="D47" i="8"/>
  <c r="H47" i="8"/>
  <c r="N47" i="8"/>
  <c r="C51" i="8"/>
  <c r="M51" i="8"/>
  <c r="E52" i="8"/>
  <c r="K52" i="8"/>
  <c r="C55" i="8"/>
  <c r="M55" i="8"/>
  <c r="E56" i="8"/>
  <c r="K56" i="8"/>
  <c r="C59" i="8"/>
  <c r="M59" i="8"/>
  <c r="E60" i="8"/>
  <c r="K60" i="8"/>
  <c r="C63" i="8"/>
  <c r="M63" i="8"/>
  <c r="E64" i="8"/>
  <c r="C51" i="9"/>
  <c r="C16" i="9"/>
  <c r="G51" i="9"/>
  <c r="G16" i="9"/>
  <c r="K51" i="9"/>
  <c r="K16" i="9"/>
  <c r="O13" i="9"/>
  <c r="O51" i="9" s="1"/>
  <c r="M16" i="9"/>
  <c r="E56" i="9"/>
  <c r="E20" i="9"/>
  <c r="E58" i="9" s="1"/>
  <c r="I56" i="9"/>
  <c r="I20" i="9"/>
  <c r="I58" i="9" s="1"/>
  <c r="M56" i="9"/>
  <c r="M20" i="9"/>
  <c r="M58" i="9" s="1"/>
  <c r="O13" i="8"/>
  <c r="O51" i="8" s="1"/>
  <c r="O15" i="8"/>
  <c r="I16" i="8"/>
  <c r="O17" i="8"/>
  <c r="O19" i="8"/>
  <c r="I20" i="8"/>
  <c r="O21" i="8"/>
  <c r="O23" i="8"/>
  <c r="I24" i="8"/>
  <c r="O25" i="8"/>
  <c r="O27" i="8"/>
  <c r="D51" i="9"/>
  <c r="P13" i="9"/>
  <c r="D16" i="9"/>
  <c r="H51" i="9"/>
  <c r="H16" i="9"/>
  <c r="L51" i="9"/>
  <c r="L16" i="9"/>
  <c r="O15" i="9"/>
  <c r="O53" i="9" s="1"/>
  <c r="C55" i="9"/>
  <c r="C20" i="9"/>
  <c r="G55" i="9"/>
  <c r="G20" i="9"/>
  <c r="G58" i="9" s="1"/>
  <c r="K55" i="9"/>
  <c r="K20" i="9"/>
  <c r="K58" i="9" s="1"/>
  <c r="O17" i="9"/>
  <c r="O55" i="9" s="1"/>
  <c r="P13" i="8"/>
  <c r="P15" i="8"/>
  <c r="F16" i="8"/>
  <c r="J16" i="8"/>
  <c r="L16" i="8"/>
  <c r="P19" i="8"/>
  <c r="F20" i="8"/>
  <c r="J20" i="8"/>
  <c r="L20" i="8"/>
  <c r="L58" i="8" s="1"/>
  <c r="P21" i="8"/>
  <c r="P23" i="8"/>
  <c r="F24" i="8"/>
  <c r="J24" i="8"/>
  <c r="L24" i="8"/>
  <c r="L62" i="8" s="1"/>
  <c r="P25" i="8"/>
  <c r="P27" i="8"/>
  <c r="F28" i="8"/>
  <c r="N28" i="8"/>
  <c r="N66" i="8" s="1"/>
  <c r="G51" i="8"/>
  <c r="G55" i="8"/>
  <c r="G59" i="8"/>
  <c r="G63" i="8"/>
  <c r="C57" i="9"/>
  <c r="O19" i="9"/>
  <c r="O57" i="9" s="1"/>
  <c r="O14" i="8"/>
  <c r="O18" i="8"/>
  <c r="O22" i="8"/>
  <c r="O26" i="8"/>
  <c r="H28" i="8"/>
  <c r="K28" i="8"/>
  <c r="K66" i="8" s="1"/>
  <c r="E35" i="8"/>
  <c r="I35" i="8"/>
  <c r="K35" i="8"/>
  <c r="P33" i="8"/>
  <c r="O34" i="8"/>
  <c r="O36" i="8"/>
  <c r="E43" i="8"/>
  <c r="I43" i="8"/>
  <c r="K43" i="8"/>
  <c r="P41" i="8"/>
  <c r="O42" i="8"/>
  <c r="O44" i="8"/>
  <c r="I16" i="9"/>
  <c r="P18" i="9"/>
  <c r="P56" i="9" s="1"/>
  <c r="D20" i="9"/>
  <c r="D58" i="9" s="1"/>
  <c r="H20" i="9"/>
  <c r="H58" i="9" s="1"/>
  <c r="L20" i="9"/>
  <c r="L58" i="9" s="1"/>
  <c r="D24" i="9"/>
  <c r="D62" i="9" s="1"/>
  <c r="H24" i="9"/>
  <c r="H62" i="9" s="1"/>
  <c r="L24" i="9"/>
  <c r="L62" i="9" s="1"/>
  <c r="J63" i="9"/>
  <c r="D64" i="9"/>
  <c r="H64" i="9"/>
  <c r="P26" i="9"/>
  <c r="P64" i="9" s="1"/>
  <c r="D28" i="9"/>
  <c r="D66" i="9" s="1"/>
  <c r="H28" i="9"/>
  <c r="H66" i="9" s="1"/>
  <c r="L28" i="9"/>
  <c r="L66" i="9" s="1"/>
  <c r="C52" i="9"/>
  <c r="N52" i="9"/>
  <c r="D55" i="9"/>
  <c r="F56" i="9"/>
  <c r="C60" i="9"/>
  <c r="N60" i="9"/>
  <c r="D16" i="10"/>
  <c r="L16" i="10"/>
  <c r="P17" i="10"/>
  <c r="P55" i="10" s="1"/>
  <c r="D20" i="10"/>
  <c r="L20" i="10"/>
  <c r="L58" i="10" s="1"/>
  <c r="D24" i="10"/>
  <c r="L24" i="10"/>
  <c r="L62" i="10" s="1"/>
  <c r="P25" i="10"/>
  <c r="P63" i="10" s="1"/>
  <c r="D28" i="10"/>
  <c r="L28" i="10"/>
  <c r="L66" i="10" s="1"/>
  <c r="O21" i="9"/>
  <c r="O59" i="9" s="1"/>
  <c r="O23" i="9"/>
  <c r="O61" i="9" s="1"/>
  <c r="E24" i="9"/>
  <c r="E62" i="9" s="1"/>
  <c r="I24" i="9"/>
  <c r="I62" i="9" s="1"/>
  <c r="M24" i="9"/>
  <c r="M62" i="9" s="1"/>
  <c r="O25" i="9"/>
  <c r="O63" i="9" s="1"/>
  <c r="O27" i="9"/>
  <c r="O65" i="9" s="1"/>
  <c r="E28" i="9"/>
  <c r="E66" i="9" s="1"/>
  <c r="I28" i="9"/>
  <c r="I66" i="9" s="1"/>
  <c r="M28" i="9"/>
  <c r="M66" i="9" s="1"/>
  <c r="J52" i="9"/>
  <c r="D57" i="9"/>
  <c r="J60" i="9"/>
  <c r="J64" i="9"/>
  <c r="D65" i="9"/>
  <c r="E16" i="10"/>
  <c r="E51" i="10"/>
  <c r="I51" i="10"/>
  <c r="I16" i="10"/>
  <c r="M16" i="10"/>
  <c r="M51" i="10"/>
  <c r="P14" i="10"/>
  <c r="P52" i="10" s="1"/>
  <c r="E20" i="10"/>
  <c r="E58" i="10" s="1"/>
  <c r="E55" i="10"/>
  <c r="I20" i="10"/>
  <c r="I58" i="10" s="1"/>
  <c r="I55" i="10"/>
  <c r="M20" i="10"/>
  <c r="M58" i="10" s="1"/>
  <c r="M55" i="10"/>
  <c r="P18" i="10"/>
  <c r="P56" i="10" s="1"/>
  <c r="E24" i="10"/>
  <c r="E62" i="10" s="1"/>
  <c r="E59" i="10"/>
  <c r="I59" i="10"/>
  <c r="I24" i="10"/>
  <c r="I62" i="10" s="1"/>
  <c r="M24" i="10"/>
  <c r="M62" i="10" s="1"/>
  <c r="M59" i="10"/>
  <c r="P22" i="10"/>
  <c r="P60" i="10" s="1"/>
  <c r="E28" i="10"/>
  <c r="E66" i="10" s="1"/>
  <c r="E63" i="10"/>
  <c r="I28" i="10"/>
  <c r="I66" i="10" s="1"/>
  <c r="I63" i="10"/>
  <c r="M28" i="10"/>
  <c r="M66" i="10" s="1"/>
  <c r="M63" i="10"/>
  <c r="P26" i="10"/>
  <c r="P64" i="10" s="1"/>
  <c r="P15" i="9"/>
  <c r="P53" i="9" s="1"/>
  <c r="F16" i="9"/>
  <c r="J20" i="9"/>
  <c r="J58" i="9" s="1"/>
  <c r="N20" i="9"/>
  <c r="N58" i="9" s="1"/>
  <c r="P21" i="9"/>
  <c r="P23" i="9"/>
  <c r="P61" i="9" s="1"/>
  <c r="F24" i="9"/>
  <c r="F62" i="9" s="1"/>
  <c r="P25" i="9"/>
  <c r="F28" i="9"/>
  <c r="F66" i="9" s="1"/>
  <c r="N28" i="9"/>
  <c r="N66" i="9" s="1"/>
  <c r="C56" i="9"/>
  <c r="C64" i="9"/>
  <c r="F51" i="10"/>
  <c r="F16" i="10"/>
  <c r="J51" i="10"/>
  <c r="J16" i="10"/>
  <c r="N51" i="10"/>
  <c r="N16" i="10"/>
  <c r="H16" i="10"/>
  <c r="F55" i="10"/>
  <c r="F20" i="10"/>
  <c r="F58" i="10" s="1"/>
  <c r="J55" i="10"/>
  <c r="J20" i="10"/>
  <c r="J58" i="10" s="1"/>
  <c r="N55" i="10"/>
  <c r="N20" i="10"/>
  <c r="N58" i="10" s="1"/>
  <c r="H20" i="10"/>
  <c r="H58" i="10" s="1"/>
  <c r="F59" i="10"/>
  <c r="F24" i="10"/>
  <c r="F62" i="10" s="1"/>
  <c r="J59" i="10"/>
  <c r="J24" i="10"/>
  <c r="J62" i="10" s="1"/>
  <c r="N59" i="10"/>
  <c r="N24" i="10"/>
  <c r="N62" i="10" s="1"/>
  <c r="H24" i="10"/>
  <c r="H62" i="10" s="1"/>
  <c r="F63" i="10"/>
  <c r="F28" i="10"/>
  <c r="F66" i="10" s="1"/>
  <c r="J63" i="10"/>
  <c r="J28" i="10"/>
  <c r="J66" i="10" s="1"/>
  <c r="N63" i="10"/>
  <c r="N28" i="10"/>
  <c r="N66" i="10" s="1"/>
  <c r="H28" i="10"/>
  <c r="H66" i="10" s="1"/>
  <c r="C24" i="9"/>
  <c r="G24" i="9"/>
  <c r="G62" i="9" s="1"/>
  <c r="K24" i="9"/>
  <c r="K62" i="9" s="1"/>
  <c r="C28" i="9"/>
  <c r="G28" i="9"/>
  <c r="G66" i="9" s="1"/>
  <c r="K28" i="9"/>
  <c r="K66" i="9" s="1"/>
  <c r="P19" i="10"/>
  <c r="P57" i="10" s="1"/>
  <c r="P27" i="10"/>
  <c r="P65" i="10" s="1"/>
  <c r="P13" i="10"/>
  <c r="P51" i="10" s="1"/>
  <c r="P15" i="10"/>
  <c r="P53" i="10" s="1"/>
  <c r="P21" i="10"/>
  <c r="P59" i="10" s="1"/>
  <c r="P23" i="10"/>
  <c r="P61" i="10" s="1"/>
  <c r="H22" i="13"/>
  <c r="L22" i="13"/>
  <c r="P22" i="13"/>
  <c r="T22" i="13"/>
  <c r="U23" i="13" s="1"/>
  <c r="H23" i="14"/>
  <c r="R22" i="13"/>
  <c r="N10" i="12"/>
  <c r="L17" i="12"/>
  <c r="O63" i="6" l="1"/>
  <c r="O60" i="7"/>
  <c r="S23" i="14"/>
  <c r="O64" i="8"/>
  <c r="G23" i="14"/>
  <c r="D23" i="13"/>
  <c r="P48" i="10"/>
  <c r="W16" i="1" s="1"/>
  <c r="N58" i="6"/>
  <c r="I23" i="14"/>
  <c r="G23" i="13"/>
  <c r="O60" i="6"/>
  <c r="O57" i="4"/>
  <c r="P53" i="8"/>
  <c r="O59" i="6"/>
  <c r="F58" i="8"/>
  <c r="P56" i="6"/>
  <c r="O53" i="6"/>
  <c r="O54" i="10"/>
  <c r="P23" i="14"/>
  <c r="O52" i="6"/>
  <c r="J48" i="8"/>
  <c r="O23" i="13"/>
  <c r="C66" i="8"/>
  <c r="C54" i="8"/>
  <c r="O56" i="6"/>
  <c r="G66" i="5"/>
  <c r="P26" i="8"/>
  <c r="P64" i="8" s="1"/>
  <c r="J23" i="14"/>
  <c r="P65" i="7"/>
  <c r="W12" i="1"/>
  <c r="O24" i="8"/>
  <c r="P53" i="6"/>
  <c r="L23" i="14"/>
  <c r="L23" i="13"/>
  <c r="Q23" i="13"/>
  <c r="O48" i="10"/>
  <c r="P24" i="6"/>
  <c r="C66" i="5"/>
  <c r="O61" i="4"/>
  <c r="P57" i="4"/>
  <c r="J23" i="13"/>
  <c r="O57" i="8"/>
  <c r="P29" i="11"/>
  <c r="P67" i="11" s="1"/>
  <c r="G29" i="8"/>
  <c r="R11" i="1" s="1"/>
  <c r="P60" i="4"/>
  <c r="O59" i="8"/>
  <c r="P65" i="6"/>
  <c r="G62" i="8"/>
  <c r="H17" i="1"/>
  <c r="K29" i="10"/>
  <c r="V13" i="1" s="1"/>
  <c r="O60" i="8"/>
  <c r="D62" i="8"/>
  <c r="P61" i="8"/>
  <c r="P52" i="6"/>
  <c r="Q12" i="1"/>
  <c r="G62" i="5"/>
  <c r="O64" i="4"/>
  <c r="O65" i="4"/>
  <c r="K58" i="8"/>
  <c r="C62" i="5"/>
  <c r="C29" i="8"/>
  <c r="E23" i="13"/>
  <c r="P65" i="8"/>
  <c r="O57" i="7"/>
  <c r="H66" i="6"/>
  <c r="G29" i="10"/>
  <c r="V11" i="1" s="1"/>
  <c r="P39" i="8"/>
  <c r="G66" i="8"/>
  <c r="F23" i="14"/>
  <c r="W15" i="1"/>
  <c r="P24" i="8"/>
  <c r="N58" i="5"/>
  <c r="O23" i="14"/>
  <c r="G54" i="10"/>
  <c r="O56" i="8"/>
  <c r="P16" i="8"/>
  <c r="O16" i="8"/>
  <c r="P47" i="4"/>
  <c r="O52" i="8"/>
  <c r="O60" i="4"/>
  <c r="K12" i="1"/>
  <c r="G58" i="8"/>
  <c r="E58" i="8"/>
  <c r="I67" i="11"/>
  <c r="X10" i="1"/>
  <c r="K67" i="11"/>
  <c r="X13" i="1"/>
  <c r="C67" i="11"/>
  <c r="O29" i="11"/>
  <c r="O67" i="11" s="1"/>
  <c r="G67" i="11"/>
  <c r="X11" i="1"/>
  <c r="M67" i="11"/>
  <c r="X14" i="1"/>
  <c r="K23" i="13"/>
  <c r="K23" i="14"/>
  <c r="P23" i="13"/>
  <c r="S23" i="13"/>
  <c r="T23" i="13"/>
  <c r="T23" i="14"/>
  <c r="R23" i="14"/>
  <c r="K62" i="8"/>
  <c r="O28" i="8"/>
  <c r="N58" i="8"/>
  <c r="F66" i="8"/>
  <c r="J58" i="8"/>
  <c r="J66" i="8"/>
  <c r="I58" i="8"/>
  <c r="O20" i="8"/>
  <c r="M29" i="8"/>
  <c r="R14" i="1" s="1"/>
  <c r="P35" i="7"/>
  <c r="C58" i="8"/>
  <c r="M58" i="8"/>
  <c r="D28" i="8"/>
  <c r="D66" i="8" s="1"/>
  <c r="P47" i="7"/>
  <c r="P39" i="7"/>
  <c r="O55" i="7"/>
  <c r="O63" i="7"/>
  <c r="H66" i="7"/>
  <c r="P64" i="7"/>
  <c r="H58" i="7"/>
  <c r="O53" i="7"/>
  <c r="O64" i="6"/>
  <c r="H48" i="6"/>
  <c r="I54" i="6"/>
  <c r="N66" i="6"/>
  <c r="H58" i="6"/>
  <c r="E66" i="6"/>
  <c r="D66" i="6"/>
  <c r="M48" i="6"/>
  <c r="O14" i="1" s="1"/>
  <c r="P35" i="6"/>
  <c r="N62" i="6"/>
  <c r="O57" i="6"/>
  <c r="P47" i="6"/>
  <c r="K66" i="6"/>
  <c r="M62" i="6"/>
  <c r="O43" i="6"/>
  <c r="P43" i="5"/>
  <c r="M58" i="5"/>
  <c r="E58" i="5"/>
  <c r="D48" i="5"/>
  <c r="C58" i="5"/>
  <c r="D66" i="5"/>
  <c r="H54" i="5"/>
  <c r="H51" i="5"/>
  <c r="P43" i="4"/>
  <c r="H62" i="4"/>
  <c r="O53" i="4"/>
  <c r="P64" i="4"/>
  <c r="L66" i="4"/>
  <c r="L48" i="4"/>
  <c r="I58" i="4"/>
  <c r="P35" i="4"/>
  <c r="D66" i="4"/>
  <c r="N62" i="4"/>
  <c r="P56" i="4"/>
  <c r="P20" i="4"/>
  <c r="O39" i="4"/>
  <c r="O20" i="4"/>
  <c r="P52" i="7"/>
  <c r="P56" i="7"/>
  <c r="P60" i="8"/>
  <c r="P47" i="8"/>
  <c r="E62" i="8"/>
  <c r="P52" i="8"/>
  <c r="F62" i="8"/>
  <c r="O39" i="8"/>
  <c r="M48" i="8"/>
  <c r="S14" i="1" s="1"/>
  <c r="H66" i="8"/>
  <c r="I48" i="8"/>
  <c r="S10" i="1" s="1"/>
  <c r="P57" i="8"/>
  <c r="I66" i="8"/>
  <c r="J62" i="8"/>
  <c r="O65" i="8"/>
  <c r="O52" i="7"/>
  <c r="O65" i="7"/>
  <c r="P53" i="7"/>
  <c r="C62" i="6"/>
  <c r="H62" i="6"/>
  <c r="P61" i="6"/>
  <c r="D48" i="6"/>
  <c r="O61" i="6"/>
  <c r="D58" i="6"/>
  <c r="O51" i="6"/>
  <c r="G58" i="6"/>
  <c r="P39" i="6"/>
  <c r="O35" i="6"/>
  <c r="P57" i="6"/>
  <c r="P60" i="6"/>
  <c r="O55" i="6"/>
  <c r="O47" i="6"/>
  <c r="P64" i="5"/>
  <c r="E66" i="5"/>
  <c r="D62" i="5"/>
  <c r="P39" i="5"/>
  <c r="P65" i="5"/>
  <c r="P57" i="5"/>
  <c r="P61" i="5"/>
  <c r="P56" i="5"/>
  <c r="P47" i="5"/>
  <c r="I62" i="5"/>
  <c r="N48" i="5"/>
  <c r="E48" i="5"/>
  <c r="H48" i="5"/>
  <c r="H67" i="5" s="1"/>
  <c r="F62" i="4"/>
  <c r="H58" i="4"/>
  <c r="O47" i="4"/>
  <c r="O56" i="4"/>
  <c r="H48" i="4"/>
  <c r="P52" i="4"/>
  <c r="D58" i="4"/>
  <c r="O64" i="7"/>
  <c r="D58" i="7"/>
  <c r="J55" i="7"/>
  <c r="G48" i="7"/>
  <c r="Q11" i="1" s="1"/>
  <c r="P57" i="7"/>
  <c r="F58" i="7"/>
  <c r="D18" i="8"/>
  <c r="O59" i="7"/>
  <c r="E29" i="8"/>
  <c r="R12" i="1" s="1"/>
  <c r="D17" i="8"/>
  <c r="C29" i="10"/>
  <c r="M23" i="13"/>
  <c r="Q23" i="14"/>
  <c r="N23" i="14"/>
  <c r="N23" i="13"/>
  <c r="M23" i="14"/>
  <c r="C48" i="5"/>
  <c r="O63" i="4"/>
  <c r="F48" i="8"/>
  <c r="O39" i="6"/>
  <c r="O47" i="8"/>
  <c r="D48" i="8"/>
  <c r="D62" i="6"/>
  <c r="L48" i="8"/>
  <c r="P53" i="5"/>
  <c r="K48" i="8"/>
  <c r="S13" i="1" s="1"/>
  <c r="E48" i="8"/>
  <c r="E29" i="9"/>
  <c r="P35" i="8"/>
  <c r="O63" i="8"/>
  <c r="N48" i="8"/>
  <c r="O61" i="7"/>
  <c r="F48" i="6"/>
  <c r="C48" i="6"/>
  <c r="O12" i="1" s="1"/>
  <c r="O55" i="4"/>
  <c r="N48" i="6"/>
  <c r="P39" i="4"/>
  <c r="K48" i="4"/>
  <c r="K13" i="1" s="1"/>
  <c r="H48" i="8"/>
  <c r="P64" i="6"/>
  <c r="I48" i="5"/>
  <c r="M10" i="1" s="1"/>
  <c r="I58" i="5"/>
  <c r="G48" i="8"/>
  <c r="S11" i="1" s="1"/>
  <c r="E66" i="8"/>
  <c r="O28" i="9"/>
  <c r="O66" i="9" s="1"/>
  <c r="C66" i="9"/>
  <c r="J54" i="10"/>
  <c r="J29" i="10"/>
  <c r="J67" i="10" s="1"/>
  <c r="N54" i="10"/>
  <c r="N29" i="10"/>
  <c r="N67" i="10" s="1"/>
  <c r="F54" i="10"/>
  <c r="F29" i="10"/>
  <c r="F67" i="10" s="1"/>
  <c r="F54" i="9"/>
  <c r="F29" i="9"/>
  <c r="F67" i="9" s="1"/>
  <c r="M54" i="10"/>
  <c r="M29" i="10"/>
  <c r="V14" i="1" s="1"/>
  <c r="L54" i="10"/>
  <c r="L29" i="10"/>
  <c r="L67" i="10" s="1"/>
  <c r="I23" i="13"/>
  <c r="H23" i="13"/>
  <c r="O24" i="9"/>
  <c r="O62" i="9" s="1"/>
  <c r="C62" i="9"/>
  <c r="P59" i="9"/>
  <c r="P24" i="9"/>
  <c r="P62" i="9" s="1"/>
  <c r="I54" i="10"/>
  <c r="I29" i="10"/>
  <c r="D66" i="10"/>
  <c r="P28" i="10"/>
  <c r="P66" i="10" s="1"/>
  <c r="D54" i="10"/>
  <c r="D29" i="10"/>
  <c r="D67" i="10" s="1"/>
  <c r="P16" i="10"/>
  <c r="P20" i="9"/>
  <c r="P58" i="9" s="1"/>
  <c r="P59" i="8"/>
  <c r="F54" i="8"/>
  <c r="F29" i="8"/>
  <c r="C58" i="9"/>
  <c r="O20" i="9"/>
  <c r="O58" i="9" s="1"/>
  <c r="P51" i="9"/>
  <c r="P16" i="9"/>
  <c r="O61" i="8"/>
  <c r="O55" i="8"/>
  <c r="K54" i="9"/>
  <c r="K29" i="9"/>
  <c r="T13" i="1" s="1"/>
  <c r="O16" i="9"/>
  <c r="O54" i="9" s="1"/>
  <c r="C54" i="9"/>
  <c r="C29" i="9"/>
  <c r="O43" i="8"/>
  <c r="C48" i="8"/>
  <c r="O35" i="8"/>
  <c r="K29" i="8"/>
  <c r="O24" i="7"/>
  <c r="O62" i="7" s="1"/>
  <c r="D54" i="7"/>
  <c r="D29" i="7"/>
  <c r="D67" i="7" s="1"/>
  <c r="M29" i="7"/>
  <c r="C62" i="8"/>
  <c r="F54" i="7"/>
  <c r="F29" i="7"/>
  <c r="F67" i="7" s="1"/>
  <c r="I29" i="7"/>
  <c r="I54" i="7"/>
  <c r="J58" i="6"/>
  <c r="P51" i="6"/>
  <c r="P16" i="6"/>
  <c r="D54" i="5"/>
  <c r="D29" i="5"/>
  <c r="H29" i="7"/>
  <c r="C58" i="6"/>
  <c r="O20" i="6"/>
  <c r="K54" i="6"/>
  <c r="K29" i="6"/>
  <c r="G58" i="5"/>
  <c r="P59" i="6"/>
  <c r="F54" i="6"/>
  <c r="L29" i="5"/>
  <c r="L67" i="5" s="1"/>
  <c r="L54" i="5"/>
  <c r="L48" i="6"/>
  <c r="P63" i="6"/>
  <c r="P28" i="6"/>
  <c r="F58" i="6"/>
  <c r="G48" i="5"/>
  <c r="M11" i="1" s="1"/>
  <c r="I66" i="5"/>
  <c r="P35" i="5"/>
  <c r="P24" i="4"/>
  <c r="P59" i="4"/>
  <c r="O59" i="4"/>
  <c r="N29" i="5"/>
  <c r="D29" i="4"/>
  <c r="C29" i="6"/>
  <c r="M54" i="5"/>
  <c r="M29" i="5"/>
  <c r="O51" i="5"/>
  <c r="D48" i="4"/>
  <c r="P55" i="4"/>
  <c r="K54" i="4"/>
  <c r="K29" i="4"/>
  <c r="N29" i="4"/>
  <c r="N67" i="4" s="1"/>
  <c r="M29" i="4"/>
  <c r="M54" i="4"/>
  <c r="L29" i="4"/>
  <c r="O28" i="4"/>
  <c r="D58" i="10"/>
  <c r="P20" i="10"/>
  <c r="P58" i="10" s="1"/>
  <c r="I54" i="9"/>
  <c r="I29" i="9"/>
  <c r="H29" i="9"/>
  <c r="H67" i="9" s="1"/>
  <c r="H54" i="9"/>
  <c r="I29" i="8"/>
  <c r="R10" i="1" s="1"/>
  <c r="I54" i="8"/>
  <c r="J29" i="9"/>
  <c r="J67" i="9" s="1"/>
  <c r="N54" i="8"/>
  <c r="N29" i="8"/>
  <c r="E54" i="8"/>
  <c r="P63" i="7"/>
  <c r="P28" i="7"/>
  <c r="G54" i="7"/>
  <c r="G29" i="7"/>
  <c r="P11" i="1" s="1"/>
  <c r="P55" i="7"/>
  <c r="P20" i="7"/>
  <c r="P59" i="7"/>
  <c r="P24" i="7"/>
  <c r="P62" i="7" s="1"/>
  <c r="E29" i="7"/>
  <c r="E54" i="7"/>
  <c r="N54" i="6"/>
  <c r="N29" i="6"/>
  <c r="D54" i="6"/>
  <c r="D29" i="6"/>
  <c r="N29" i="7"/>
  <c r="N67" i="7" s="1"/>
  <c r="P55" i="6"/>
  <c r="P20" i="6"/>
  <c r="J54" i="5"/>
  <c r="J29" i="5"/>
  <c r="J67" i="5" s="1"/>
  <c r="P43" i="6"/>
  <c r="J48" i="6"/>
  <c r="C66" i="6"/>
  <c r="O28" i="6"/>
  <c r="E62" i="5"/>
  <c r="O58" i="5"/>
  <c r="O55" i="5"/>
  <c r="P60" i="5"/>
  <c r="E29" i="6"/>
  <c r="O43" i="5"/>
  <c r="K29" i="5"/>
  <c r="K54" i="5"/>
  <c r="E54" i="5"/>
  <c r="E29" i="5"/>
  <c r="P28" i="4"/>
  <c r="P66" i="4" s="1"/>
  <c r="P63" i="4"/>
  <c r="O53" i="5"/>
  <c r="I54" i="4"/>
  <c r="I29" i="4"/>
  <c r="G29" i="6"/>
  <c r="N11" i="1" s="1"/>
  <c r="G29" i="4"/>
  <c r="J11" i="1" s="1"/>
  <c r="G54" i="4"/>
  <c r="D62" i="4"/>
  <c r="O24" i="4"/>
  <c r="O62" i="4" s="1"/>
  <c r="P63" i="9"/>
  <c r="P28" i="9"/>
  <c r="P66" i="9" s="1"/>
  <c r="E67" i="9"/>
  <c r="L54" i="8"/>
  <c r="L29" i="8"/>
  <c r="P51" i="8"/>
  <c r="P43" i="8"/>
  <c r="O53" i="8"/>
  <c r="M54" i="9"/>
  <c r="M29" i="9"/>
  <c r="T14" i="1" s="1"/>
  <c r="G29" i="9"/>
  <c r="T11" i="1" s="1"/>
  <c r="G54" i="9"/>
  <c r="H54" i="8"/>
  <c r="H29" i="8"/>
  <c r="C54" i="7"/>
  <c r="O16" i="7"/>
  <c r="O54" i="7" s="1"/>
  <c r="C29" i="7"/>
  <c r="L54" i="7"/>
  <c r="L29" i="7"/>
  <c r="L67" i="7" s="1"/>
  <c r="P16" i="7"/>
  <c r="P51" i="7"/>
  <c r="C58" i="7"/>
  <c r="O20" i="7"/>
  <c r="O58" i="7" s="1"/>
  <c r="O24" i="6"/>
  <c r="L58" i="6"/>
  <c r="O35" i="5"/>
  <c r="F29" i="5"/>
  <c r="F67" i="5" s="1"/>
  <c r="F54" i="5"/>
  <c r="K48" i="5"/>
  <c r="M13" i="1" s="1"/>
  <c r="O66" i="5"/>
  <c r="O63" i="5"/>
  <c r="K58" i="5"/>
  <c r="J67" i="4"/>
  <c r="O16" i="4"/>
  <c r="O54" i="4" s="1"/>
  <c r="C54" i="4"/>
  <c r="C29" i="4"/>
  <c r="G54" i="5"/>
  <c r="G29" i="5"/>
  <c r="L11" i="1" s="1"/>
  <c r="H29" i="4"/>
  <c r="R23" i="13"/>
  <c r="H54" i="10"/>
  <c r="H29" i="10"/>
  <c r="H67" i="10" s="1"/>
  <c r="L18" i="12"/>
  <c r="N18" i="12" s="1"/>
  <c r="N17" i="12"/>
  <c r="E54" i="10"/>
  <c r="E29" i="10"/>
  <c r="X12" i="1" s="1"/>
  <c r="D62" i="10"/>
  <c r="P24" i="10"/>
  <c r="P62" i="10" s="1"/>
  <c r="P63" i="8"/>
  <c r="J54" i="8"/>
  <c r="J29" i="8"/>
  <c r="L29" i="9"/>
  <c r="L67" i="9" s="1"/>
  <c r="L54" i="9"/>
  <c r="D54" i="9"/>
  <c r="D29" i="9"/>
  <c r="D67" i="9" s="1"/>
  <c r="I62" i="8"/>
  <c r="N29" i="9"/>
  <c r="N67" i="9" s="1"/>
  <c r="H58" i="8"/>
  <c r="D54" i="8"/>
  <c r="K54" i="8"/>
  <c r="C66" i="7"/>
  <c r="O28" i="7"/>
  <c r="O66" i="7" s="1"/>
  <c r="J54" i="7"/>
  <c r="J29" i="7"/>
  <c r="J67" i="7" s="1"/>
  <c r="K29" i="7"/>
  <c r="K54" i="7"/>
  <c r="L54" i="6"/>
  <c r="L29" i="6"/>
  <c r="H54" i="6"/>
  <c r="H29" i="6"/>
  <c r="F29" i="6"/>
  <c r="P28" i="5"/>
  <c r="P63" i="5"/>
  <c r="P24" i="5"/>
  <c r="P59" i="5"/>
  <c r="P20" i="5"/>
  <c r="P55" i="5"/>
  <c r="P51" i="5"/>
  <c r="J54" i="6"/>
  <c r="J29" i="6"/>
  <c r="K66" i="5"/>
  <c r="I29" i="6"/>
  <c r="O24" i="5"/>
  <c r="O29" i="5" s="1"/>
  <c r="I54" i="5"/>
  <c r="I29" i="5"/>
  <c r="C29" i="5"/>
  <c r="P16" i="4"/>
  <c r="P51" i="4"/>
  <c r="M29" i="6"/>
  <c r="O16" i="6"/>
  <c r="J62" i="4"/>
  <c r="E29" i="4"/>
  <c r="F29" i="4"/>
  <c r="F67" i="4" s="1"/>
  <c r="P66" i="6" l="1"/>
  <c r="J67" i="8"/>
  <c r="Q15" i="1"/>
  <c r="T12" i="1"/>
  <c r="N67" i="8"/>
  <c r="G67" i="10"/>
  <c r="K67" i="10"/>
  <c r="H67" i="6"/>
  <c r="M67" i="8"/>
  <c r="M12" i="1"/>
  <c r="M15" i="1" s="1"/>
  <c r="D67" i="5"/>
  <c r="P28" i="8"/>
  <c r="P66" i="8" s="1"/>
  <c r="P62" i="4"/>
  <c r="K15" i="1"/>
  <c r="P29" i="5"/>
  <c r="O15" i="1"/>
  <c r="P62" i="5"/>
  <c r="P12" i="1"/>
  <c r="I67" i="9"/>
  <c r="T10" i="1"/>
  <c r="T15" i="1" s="1"/>
  <c r="N12" i="1"/>
  <c r="V12" i="1"/>
  <c r="I67" i="6"/>
  <c r="N10" i="1"/>
  <c r="J12" i="1"/>
  <c r="I67" i="7"/>
  <c r="P10" i="1"/>
  <c r="I67" i="10"/>
  <c r="V10" i="1"/>
  <c r="C67" i="8"/>
  <c r="S12" i="1"/>
  <c r="S15" i="1" s="1"/>
  <c r="L12" i="1"/>
  <c r="I67" i="5"/>
  <c r="L10" i="1"/>
  <c r="I67" i="4"/>
  <c r="J10" i="1"/>
  <c r="P66" i="7"/>
  <c r="X15" i="1"/>
  <c r="X17" i="1" s="1"/>
  <c r="C67" i="10"/>
  <c r="E67" i="8"/>
  <c r="L67" i="8"/>
  <c r="P58" i="7"/>
  <c r="D67" i="6"/>
  <c r="O48" i="6"/>
  <c r="P29" i="6"/>
  <c r="O66" i="6"/>
  <c r="P48" i="6"/>
  <c r="O16" i="1" s="1"/>
  <c r="O62" i="6"/>
  <c r="N67" i="6"/>
  <c r="P58" i="5"/>
  <c r="L67" i="4"/>
  <c r="O58" i="4"/>
  <c r="O48" i="4"/>
  <c r="O66" i="4"/>
  <c r="H67" i="4"/>
  <c r="P48" i="7"/>
  <c r="Q16" i="1" s="1"/>
  <c r="G67" i="8"/>
  <c r="I67" i="8"/>
  <c r="O54" i="8"/>
  <c r="O62" i="8"/>
  <c r="O58" i="8"/>
  <c r="P48" i="8"/>
  <c r="S16" i="1" s="1"/>
  <c r="O66" i="8"/>
  <c r="F67" i="8"/>
  <c r="H67" i="8"/>
  <c r="O48" i="7"/>
  <c r="O54" i="6"/>
  <c r="P58" i="6"/>
  <c r="O58" i="6"/>
  <c r="L67" i="6"/>
  <c r="F67" i="6"/>
  <c r="O62" i="5"/>
  <c r="N67" i="5"/>
  <c r="P48" i="5"/>
  <c r="M16" i="1" s="1"/>
  <c r="P66" i="5"/>
  <c r="P58" i="4"/>
  <c r="P48" i="4"/>
  <c r="K16" i="1" s="1"/>
  <c r="H48" i="7"/>
  <c r="H67" i="7" s="1"/>
  <c r="H54" i="7"/>
  <c r="D55" i="8"/>
  <c r="D20" i="8"/>
  <c r="P20" i="8" s="1"/>
  <c r="P17" i="8"/>
  <c r="O29" i="8"/>
  <c r="D56" i="8"/>
  <c r="P18" i="8"/>
  <c r="P56" i="8" s="1"/>
  <c r="J67" i="6"/>
  <c r="C67" i="5"/>
  <c r="M67" i="6"/>
  <c r="N14" i="1"/>
  <c r="P54" i="5"/>
  <c r="G67" i="5"/>
  <c r="C67" i="4"/>
  <c r="O29" i="4"/>
  <c r="O67" i="4" s="1"/>
  <c r="G67" i="6"/>
  <c r="E67" i="6"/>
  <c r="M67" i="4"/>
  <c r="J14" i="1"/>
  <c r="D67" i="4"/>
  <c r="P62" i="8"/>
  <c r="K67" i="7"/>
  <c r="P13" i="1"/>
  <c r="E67" i="10"/>
  <c r="O29" i="10"/>
  <c r="O67" i="10" s="1"/>
  <c r="C67" i="7"/>
  <c r="O29" i="7"/>
  <c r="G67" i="9"/>
  <c r="E67" i="7"/>
  <c r="M67" i="5"/>
  <c r="L14" i="1"/>
  <c r="P54" i="6"/>
  <c r="M67" i="7"/>
  <c r="P14" i="1"/>
  <c r="O48" i="8"/>
  <c r="P29" i="7"/>
  <c r="P54" i="7"/>
  <c r="M67" i="9"/>
  <c r="P54" i="8"/>
  <c r="K67" i="5"/>
  <c r="L13" i="1"/>
  <c r="G67" i="7"/>
  <c r="K67" i="4"/>
  <c r="J13" i="1"/>
  <c r="K67" i="6"/>
  <c r="N13" i="1"/>
  <c r="K67" i="8"/>
  <c r="R13" i="1"/>
  <c r="R15" i="1" s="1"/>
  <c r="K67" i="9"/>
  <c r="P54" i="9"/>
  <c r="P29" i="9"/>
  <c r="M67" i="10"/>
  <c r="E67" i="4"/>
  <c r="P54" i="4"/>
  <c r="P29" i="4"/>
  <c r="G67" i="4"/>
  <c r="E67" i="5"/>
  <c r="O48" i="5"/>
  <c r="O54" i="5"/>
  <c r="C67" i="6"/>
  <c r="O29" i="6"/>
  <c r="P62" i="6"/>
  <c r="C67" i="9"/>
  <c r="O29" i="9"/>
  <c r="O67" i="9" s="1"/>
  <c r="P54" i="10"/>
  <c r="P29" i="10"/>
  <c r="X18" i="1" s="1"/>
  <c r="V15" i="1" l="1"/>
  <c r="L15" i="1"/>
  <c r="J15" i="1"/>
  <c r="P15" i="1"/>
  <c r="N15" i="1"/>
  <c r="O17" i="1" s="1"/>
  <c r="O67" i="6"/>
  <c r="O67" i="7"/>
  <c r="P55" i="8"/>
  <c r="D58" i="8"/>
  <c r="D29" i="8"/>
  <c r="D67" i="8" s="1"/>
  <c r="O67" i="8"/>
  <c r="U17" i="1"/>
  <c r="R17" i="1"/>
  <c r="P67" i="10"/>
  <c r="V16" i="1"/>
  <c r="V18" i="1" s="1"/>
  <c r="P67" i="9"/>
  <c r="T16" i="1"/>
  <c r="P67" i="5"/>
  <c r="L16" i="1"/>
  <c r="O67" i="5"/>
  <c r="P67" i="6"/>
  <c r="N16" i="1"/>
  <c r="P67" i="4"/>
  <c r="J16" i="1"/>
  <c r="P67" i="7"/>
  <c r="P16" i="1"/>
  <c r="T17" i="1" l="1"/>
  <c r="W17" i="1"/>
  <c r="V17" i="1"/>
  <c r="S17" i="1"/>
  <c r="P58" i="8"/>
  <c r="P29" i="8"/>
  <c r="N17" i="1"/>
  <c r="O18" i="1"/>
  <c r="N18" i="1"/>
  <c r="M18" i="1"/>
  <c r="L18" i="1"/>
  <c r="W18" i="1"/>
  <c r="Q18" i="1"/>
  <c r="P18" i="1"/>
  <c r="J17" i="1"/>
  <c r="K17" i="1"/>
  <c r="U18" i="1"/>
  <c r="T18" i="1"/>
  <c r="K18" i="1"/>
  <c r="J18" i="1"/>
  <c r="Q17" i="1"/>
  <c r="P17" i="1"/>
  <c r="M17" i="1"/>
  <c r="L17" i="1"/>
  <c r="P67" i="8" l="1"/>
  <c r="R16" i="1"/>
  <c r="R18" i="1" l="1"/>
  <c r="S18" i="1"/>
  <c r="U19" i="14" l="1"/>
  <c r="U20" i="14"/>
  <c r="U21" i="14"/>
  <c r="U22" i="14" l="1"/>
  <c r="U23" i="14" l="1"/>
  <c r="V23" i="14"/>
  <c r="W16" i="13" l="1"/>
  <c r="W17" i="13" l="1"/>
  <c r="X17" i="13" s="1"/>
  <c r="X16" i="13"/>
  <c r="W22" i="13" l="1"/>
  <c r="W23" i="13" s="1"/>
  <c r="Y14" i="14" l="1"/>
  <c r="AA14" i="14" s="1"/>
  <c r="Y13" i="14" l="1"/>
  <c r="Y22" i="14" l="1"/>
  <c r="Y23" i="14" l="1"/>
  <c r="Z13" i="14" l="1"/>
  <c r="Z22" i="14" l="1"/>
  <c r="Z23" i="14" s="1"/>
  <c r="AA13" i="14"/>
</calcChain>
</file>

<file path=xl/comments1.xml><?xml version="1.0" encoding="utf-8"?>
<comments xmlns="http://schemas.openxmlformats.org/spreadsheetml/2006/main">
  <authors>
    <author>Lakeisha Findlay</author>
  </authors>
  <commentList>
    <comment ref="Y16" authorId="0" shapeId="0">
      <text>
        <r>
          <rPr>
            <b/>
            <sz val="9"/>
            <color indexed="81"/>
            <rFont val="Tahoma"/>
            <family val="2"/>
          </rPr>
          <t>Lakeisha Findlay:</t>
        </r>
        <r>
          <rPr>
            <sz val="9"/>
            <color indexed="81"/>
            <rFont val="Tahoma"/>
            <family val="2"/>
          </rPr>
          <t xml:space="preserve">
no block import for July</t>
        </r>
      </text>
    </comment>
  </commentList>
</comments>
</file>

<file path=xl/sharedStrings.xml><?xml version="1.0" encoding="utf-8"?>
<sst xmlns="http://schemas.openxmlformats.org/spreadsheetml/2006/main" count="780" uniqueCount="125">
  <si>
    <t>1999*</t>
  </si>
  <si>
    <t>MONTH</t>
  </si>
  <si>
    <t>Count</t>
  </si>
  <si>
    <t>Value $</t>
  </si>
  <si>
    <t>Annual % Change</t>
  </si>
  <si>
    <t>Cement imports include jumbo bags equivalent to 1.5 tonnes, small bags equivalent to 42.5 kg small bags and tanked cement</t>
  </si>
  <si>
    <t>Mining, Manufacturing, Construction</t>
  </si>
  <si>
    <t>Business places</t>
  </si>
  <si>
    <t>Hotels/apartments</t>
  </si>
  <si>
    <t>Residences</t>
  </si>
  <si>
    <t>Other, (Churches etc.)</t>
  </si>
  <si>
    <t>Total No. of Permits</t>
  </si>
  <si>
    <t>Building permits issued</t>
  </si>
  <si>
    <t>Type</t>
  </si>
  <si>
    <t>January</t>
  </si>
  <si>
    <t>February</t>
  </si>
  <si>
    <t>March</t>
  </si>
  <si>
    <t>1st Quarter</t>
  </si>
  <si>
    <t xml:space="preserve">April </t>
  </si>
  <si>
    <t>May</t>
  </si>
  <si>
    <t>June</t>
  </si>
  <si>
    <t>2nd Quarter</t>
  </si>
  <si>
    <t>July</t>
  </si>
  <si>
    <t>August</t>
  </si>
  <si>
    <t>3rd Quarter</t>
  </si>
  <si>
    <t>October</t>
  </si>
  <si>
    <t>November</t>
  </si>
  <si>
    <t>December</t>
  </si>
  <si>
    <t xml:space="preserve">4th Quarter </t>
  </si>
  <si>
    <t>Month</t>
  </si>
  <si>
    <t>Business</t>
  </si>
  <si>
    <t>Hotels/villas</t>
  </si>
  <si>
    <t>Residental Single family)</t>
  </si>
  <si>
    <t>Other</t>
  </si>
  <si>
    <t>Commercial/Industrial (AG)</t>
  </si>
  <si>
    <t>Total</t>
  </si>
  <si>
    <t>September</t>
  </si>
  <si>
    <t>New connections</t>
  </si>
  <si>
    <t>Construction line</t>
  </si>
  <si>
    <t>Reconnection</t>
  </si>
  <si>
    <t>Additional wiring</t>
  </si>
  <si>
    <t>Upgrade</t>
  </si>
  <si>
    <t xml:space="preserve">Tree lighting </t>
  </si>
  <si>
    <t>Total inspections</t>
  </si>
  <si>
    <t>No. of certificates not issued</t>
  </si>
  <si>
    <t>Total issued</t>
  </si>
  <si>
    <t>% Change 11/10</t>
  </si>
  <si>
    <r>
      <t xml:space="preserve">Source: </t>
    </r>
    <r>
      <rPr>
        <i/>
        <sz val="10"/>
        <rFont val="Arial"/>
        <family val="2"/>
      </rPr>
      <t>Department of Physical Planning</t>
    </r>
  </si>
  <si>
    <t>Cement imports</t>
  </si>
  <si>
    <t>April</t>
  </si>
  <si>
    <r>
      <t xml:space="preserve">Source: </t>
    </r>
    <r>
      <rPr>
        <i/>
        <sz val="10"/>
        <rFont val="Arial"/>
        <family val="2"/>
      </rPr>
      <t>Inland Revenue Department (IRD)</t>
    </r>
  </si>
  <si>
    <t>Cement block imports</t>
  </si>
  <si>
    <t>List of Tables</t>
  </si>
  <si>
    <t xml:space="preserve">Find more data on </t>
  </si>
  <si>
    <t>Find more on the details of this data</t>
  </si>
  <si>
    <t>Published by the Anguilla Statistics Department</t>
  </si>
  <si>
    <t>Relocation of meter/ additional meter</t>
  </si>
  <si>
    <t>Percentage change 2015/2014</t>
  </si>
  <si>
    <t>Percentage change 2013/2012</t>
  </si>
  <si>
    <t>Percentage change 2011/2010</t>
  </si>
  <si>
    <t>Percentage change 2009/2008</t>
  </si>
  <si>
    <t>Percentage change 2005/2004</t>
  </si>
  <si>
    <t>Percentage change 2003/2002</t>
  </si>
  <si>
    <t>Percentage change No. of permits</t>
  </si>
  <si>
    <t>Year: 2001 - 2011, type, percentage change</t>
  </si>
  <si>
    <t>In units, value (XCD)</t>
  </si>
  <si>
    <t>In units and percentage (%)</t>
  </si>
  <si>
    <t>In units, value (XCD) and percentage (%)</t>
  </si>
  <si>
    <t>In units (Kgs) and percentage (%)</t>
  </si>
  <si>
    <t>Percentage change (%) 2007/2006</t>
  </si>
  <si>
    <t>Residental (Multiple/Apartment)</t>
  </si>
  <si>
    <t xml:space="preserve">Commercial/Industrial Agricultural Industry </t>
  </si>
  <si>
    <t>Domain 2 Economic Statistics</t>
  </si>
  <si>
    <t>Theme 2.4 Sectoral Statistics</t>
  </si>
  <si>
    <r>
      <rPr>
        <b/>
        <sz val="10"/>
        <rFont val="Arial"/>
        <family val="2"/>
      </rPr>
      <t>Sub-theme:</t>
    </r>
    <r>
      <rPr>
        <b/>
        <sz val="10"/>
        <color indexed="12"/>
        <rFont val="Arial"/>
        <family val="2"/>
      </rPr>
      <t xml:space="preserve"> 2.4.3 Mining, Manufacturing, Construction</t>
    </r>
  </si>
  <si>
    <t xml:space="preserve">The jumbo bags and tanked cement is converted to small bags which are added to the small bag imports. The total small bags is converted to kg </t>
  </si>
  <si>
    <t>The following symbols may have been used in tables and charts:</t>
  </si>
  <si>
    <t>Nil</t>
  </si>
  <si>
    <t>-</t>
  </si>
  <si>
    <t>Figure not available</t>
  </si>
  <si>
    <t>%</t>
  </si>
  <si>
    <t>Per cent</t>
  </si>
  <si>
    <t>…</t>
  </si>
  <si>
    <t>Figure can not be published</t>
  </si>
  <si>
    <t>XCD</t>
  </si>
  <si>
    <t>Eastern Caribbean Dollar</t>
  </si>
  <si>
    <t>USD</t>
  </si>
  <si>
    <t>United States of America Dollar</t>
  </si>
  <si>
    <t>M</t>
  </si>
  <si>
    <t>Million</t>
  </si>
  <si>
    <t>n.a.</t>
  </si>
  <si>
    <t>Not applicable</t>
  </si>
  <si>
    <t>Electrical inspections</t>
  </si>
  <si>
    <t>Data notes</t>
  </si>
  <si>
    <t>Symbols</t>
  </si>
  <si>
    <t>C</t>
  </si>
  <si>
    <t>Confidential</t>
  </si>
  <si>
    <t>---</t>
  </si>
  <si>
    <t>Figure to small to be expresses (Less than…... )</t>
  </si>
  <si>
    <t>Month: 2002 - 2003, building type, count, value, percentage change</t>
  </si>
  <si>
    <t>Month: 2004 - 2005, building type, count, value, percentage change</t>
  </si>
  <si>
    <t>Month: 2006 - 2007, building type, count, value, percentage change</t>
  </si>
  <si>
    <t>Month: 2008 - 2009, building type, count, value, percentage change</t>
  </si>
  <si>
    <t>Month: 2010 - 2011, building type, count, value, percentage change</t>
  </si>
  <si>
    <t>Month: 2012 - 2013, building type, count, value, percentage change</t>
  </si>
  <si>
    <t>Month: 2014 - 2015, building type, count, value, percentage change</t>
  </si>
  <si>
    <t xml:space="preserve">Cement and cement blocks import data emanate from the Inland Revenue Department </t>
  </si>
  <si>
    <t>Total Area (1000 sq. ft.)</t>
  </si>
  <si>
    <t>Percentage change in sq. ft.</t>
  </si>
  <si>
    <t>Percentage change 2017/2016</t>
  </si>
  <si>
    <t>Year: 1995 - 2017, building type, area (sq. ft)</t>
  </si>
  <si>
    <t xml:space="preserve">1 - *1999 data is estimated from 1st &amp; 2nd quarters;  no data available for 3rd &amp; 4th quarters as a result of Hurricane Lenny.  </t>
  </si>
  <si>
    <t>2 - 1999 sq ft data estimated from one quarter only</t>
  </si>
  <si>
    <t>3 - 2006 data is up to the end of July</t>
  </si>
  <si>
    <t>1 - Cost and Value is an estimated price of the square feet for Anguilla. In 2003 this average price was US$70/sq ft.</t>
  </si>
  <si>
    <t>Month: 2016 - 2017, building type, count, value (XCD), percentage change</t>
  </si>
  <si>
    <t>Mining, manufacturing, construction statistics on specific industrial activities.</t>
  </si>
  <si>
    <t xml:space="preserve">Source of data: </t>
  </si>
  <si>
    <t>Types of Inspections</t>
  </si>
  <si>
    <t>Building permits and electrical inspections data emanate from the Department of Physical Planning</t>
  </si>
  <si>
    <t>Month: 1999 - 2019, percentage change</t>
  </si>
  <si>
    <t>% Change 19/18</t>
  </si>
  <si>
    <t>Month: 1999 - 2022, percentage change</t>
  </si>
  <si>
    <t xml:space="preserve">    http://www.statistics.gov.ai/</t>
  </si>
  <si>
    <t>% Change 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</si>
</sst>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&quot;$&quot;* #,##0.00_-;\-&quot;$&quot;* #,##0.00_-;_-&quot;$&quot;* &quot;-&quot;??_-;_-@_-"/>
    <numFmt numFmtId="167" formatCode="[$-409]mmmm\ d\,\ yyyy;@"/>
  </numFmts>
  <fonts count="2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Palatino Linotype"/>
      <family val="1"/>
    </font>
    <font>
      <b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color indexed="12"/>
      <name val="Arial"/>
      <family val="2"/>
    </font>
    <font>
      <sz val="9"/>
      <color indexed="12"/>
      <name val="Arial"/>
      <family val="2"/>
    </font>
    <font>
      <b/>
      <sz val="8"/>
      <color theme="3" tint="-0.249977111117893"/>
      <name val="Arial"/>
      <family val="2"/>
    </font>
    <font>
      <b/>
      <sz val="11"/>
      <color theme="1"/>
      <name val="Arial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 applyFill="1" applyBorder="1" applyAlignment="1">
      <alignment horizontal="right" indent="1"/>
    </xf>
    <xf numFmtId="0" fontId="0" fillId="0" borderId="0" xfId="0" applyBorder="1"/>
    <xf numFmtId="0" fontId="3" fillId="0" borderId="0" xfId="0" applyFont="1" applyBorder="1"/>
    <xf numFmtId="0" fontId="5" fillId="0" borderId="0" xfId="0" applyFont="1" applyAlignment="1">
      <alignment horizontal="left"/>
    </xf>
    <xf numFmtId="1" fontId="4" fillId="0" borderId="0" xfId="0" applyNumberFormat="1" applyFont="1" applyBorder="1"/>
    <xf numFmtId="1" fontId="0" fillId="0" borderId="0" xfId="0" applyNumberFormat="1"/>
    <xf numFmtId="0" fontId="4" fillId="0" borderId="0" xfId="0" applyFont="1"/>
    <xf numFmtId="0" fontId="4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left" wrapText="1"/>
    </xf>
    <xf numFmtId="0" fontId="4" fillId="0" borderId="0" xfId="0" applyFont="1" applyFill="1"/>
    <xf numFmtId="0" fontId="6" fillId="0" borderId="0" xfId="0" applyFont="1" applyFill="1" applyBorder="1" applyAlignment="1">
      <alignment horizontal="left" indent="1"/>
    </xf>
    <xf numFmtId="0" fontId="6" fillId="0" borderId="0" xfId="0" applyNumberFormat="1" applyFont="1" applyFill="1" applyBorder="1" applyAlignment="1">
      <alignment horizontal="right" indent="1"/>
    </xf>
    <xf numFmtId="0" fontId="6" fillId="0" borderId="0" xfId="2" applyNumberFormat="1" applyFont="1" applyFill="1" applyBorder="1" applyAlignment="1">
      <alignment horizontal="right" indent="1"/>
    </xf>
    <xf numFmtId="0" fontId="6" fillId="0" borderId="0" xfId="1" applyNumberFormat="1" applyFont="1" applyFill="1" applyBorder="1" applyAlignment="1">
      <alignment horizontal="right" indent="1"/>
    </xf>
    <xf numFmtId="1" fontId="4" fillId="0" borderId="0" xfId="0" applyNumberFormat="1" applyFont="1" applyFill="1"/>
    <xf numFmtId="0" fontId="0" fillId="0" borderId="0" xfId="0" applyAlignment="1">
      <alignment horizontal="center"/>
    </xf>
    <xf numFmtId="165" fontId="0" fillId="0" borderId="0" xfId="1" applyNumberFormat="1" applyFont="1" applyBorder="1"/>
    <xf numFmtId="0" fontId="0" fillId="0" borderId="0" xfId="0" applyFont="1"/>
    <xf numFmtId="0" fontId="2" fillId="0" borderId="0" xfId="0" applyFont="1" applyAlignment="1"/>
    <xf numFmtId="0" fontId="4" fillId="0" borderId="0" xfId="0" applyFont="1" applyBorder="1" applyAlignment="1">
      <alignment horizontal="left" indent="1"/>
    </xf>
    <xf numFmtId="1" fontId="4" fillId="0" borderId="0" xfId="0" applyNumberFormat="1" applyFont="1" applyBorder="1" applyAlignment="1">
      <alignment horizontal="right" indent="1"/>
    </xf>
    <xf numFmtId="0" fontId="4" fillId="0" borderId="1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1" fontId="3" fillId="0" borderId="2" xfId="0" applyNumberFormat="1" applyFont="1" applyFill="1" applyBorder="1" applyAlignment="1">
      <alignment horizontal="right" indent="1"/>
    </xf>
    <xf numFmtId="0" fontId="5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0" xfId="0" applyFont="1"/>
    <xf numFmtId="0" fontId="7" fillId="0" borderId="2" xfId="0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2" fontId="4" fillId="0" borderId="1" xfId="1" applyNumberFormat="1" applyFont="1" applyBorder="1" applyAlignment="1">
      <alignment horizontal="right" indent="1"/>
    </xf>
    <xf numFmtId="0" fontId="12" fillId="0" borderId="0" xfId="0" applyFont="1"/>
    <xf numFmtId="4" fontId="0" fillId="0" borderId="0" xfId="0" applyNumberFormat="1"/>
    <xf numFmtId="0" fontId="8" fillId="0" borderId="0" xfId="0" applyFont="1" applyAlignment="1">
      <alignment horizontal="left" wrapText="1"/>
    </xf>
    <xf numFmtId="1" fontId="4" fillId="0" borderId="2" xfId="0" applyNumberFormat="1" applyFont="1" applyBorder="1" applyAlignment="1">
      <alignment horizontal="right" indent="1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4" borderId="0" xfId="0" applyFont="1" applyFill="1" applyBorder="1"/>
    <xf numFmtId="0" fontId="7" fillId="4" borderId="0" xfId="0" applyFont="1" applyFill="1" applyBorder="1" applyAlignment="1"/>
    <xf numFmtId="0" fontId="7" fillId="4" borderId="2" xfId="0" applyFont="1" applyFill="1" applyBorder="1" applyAlignment="1"/>
    <xf numFmtId="0" fontId="7" fillId="4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4" fontId="3" fillId="4" borderId="0" xfId="1" applyNumberFormat="1" applyFont="1" applyFill="1" applyBorder="1" applyAlignment="1">
      <alignment horizontal="right" indent="1"/>
    </xf>
    <xf numFmtId="0" fontId="7" fillId="4" borderId="0" xfId="0" applyFont="1" applyFill="1" applyBorder="1" applyAlignment="1">
      <alignment horizontal="left"/>
    </xf>
    <xf numFmtId="4" fontId="4" fillId="4" borderId="0" xfId="0" applyNumberFormat="1" applyFont="1" applyFill="1" applyBorder="1" applyAlignment="1">
      <alignment horizontal="right" indent="1"/>
    </xf>
    <xf numFmtId="4" fontId="4" fillId="4" borderId="0" xfId="2" applyNumberFormat="1" applyFont="1" applyFill="1" applyBorder="1" applyAlignment="1">
      <alignment horizontal="right" indent="1"/>
    </xf>
    <xf numFmtId="4" fontId="4" fillId="4" borderId="0" xfId="0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4" fontId="4" fillId="3" borderId="0" xfId="0" applyNumberFormat="1" applyFont="1" applyFill="1" applyBorder="1" applyAlignment="1">
      <alignment horizontal="left" wrapText="1"/>
    </xf>
    <xf numFmtId="0" fontId="7" fillId="3" borderId="0" xfId="0" applyFont="1" applyFill="1" applyBorder="1" applyAlignment="1"/>
    <xf numFmtId="0" fontId="13" fillId="4" borderId="0" xfId="0" applyFont="1" applyFill="1" applyBorder="1" applyAlignment="1">
      <alignment horizontal="center"/>
    </xf>
    <xf numFmtId="9" fontId="5" fillId="4" borderId="0" xfId="3" applyFont="1" applyFill="1" applyBorder="1"/>
    <xf numFmtId="166" fontId="5" fillId="4" borderId="0" xfId="2" applyFont="1" applyFill="1" applyBorder="1"/>
    <xf numFmtId="0" fontId="8" fillId="0" borderId="0" xfId="0" applyFont="1" applyAlignment="1">
      <alignment wrapText="1"/>
    </xf>
    <xf numFmtId="0" fontId="0" fillId="0" borderId="0" xfId="0" applyFont="1" applyBorder="1"/>
    <xf numFmtId="4" fontId="0" fillId="0" borderId="0" xfId="0" applyNumberFormat="1" applyFont="1"/>
    <xf numFmtId="0" fontId="5" fillId="4" borderId="0" xfId="0" applyFont="1" applyFill="1" applyBorder="1" applyAlignment="1">
      <alignment horizontal="left" indent="1"/>
    </xf>
    <xf numFmtId="0" fontId="7" fillId="4" borderId="1" xfId="0" applyFont="1" applyFill="1" applyBorder="1" applyAlignment="1"/>
    <xf numFmtId="4" fontId="4" fillId="4" borderId="1" xfId="1" applyNumberFormat="1" applyFont="1" applyFill="1" applyBorder="1" applyAlignment="1">
      <alignment horizontal="right" indent="1"/>
    </xf>
    <xf numFmtId="4" fontId="4" fillId="4" borderId="0" xfId="1" applyNumberFormat="1" applyFont="1" applyFill="1" applyBorder="1" applyAlignment="1">
      <alignment horizontal="right" indent="1"/>
    </xf>
    <xf numFmtId="2" fontId="4" fillId="4" borderId="0" xfId="0" applyNumberFormat="1" applyFont="1" applyFill="1" applyBorder="1" applyAlignment="1">
      <alignment horizontal="left" indent="1"/>
    </xf>
    <xf numFmtId="2" fontId="4" fillId="3" borderId="0" xfId="0" applyNumberFormat="1" applyFont="1" applyFill="1" applyBorder="1" applyAlignment="1">
      <alignment horizontal="left" wrapText="1" indent="1"/>
    </xf>
    <xf numFmtId="2" fontId="4" fillId="3" borderId="0" xfId="0" applyNumberFormat="1" applyFont="1" applyFill="1" applyBorder="1" applyAlignment="1">
      <alignment horizontal="left" indent="1"/>
    </xf>
    <xf numFmtId="1" fontId="3" fillId="4" borderId="0" xfId="1" applyNumberFormat="1" applyFont="1" applyFill="1" applyBorder="1" applyAlignment="1">
      <alignment horizontal="right" indent="2"/>
    </xf>
    <xf numFmtId="1" fontId="4" fillId="4" borderId="0" xfId="1" applyNumberFormat="1" applyFont="1" applyFill="1" applyBorder="1" applyAlignment="1">
      <alignment horizontal="right" indent="2"/>
    </xf>
    <xf numFmtId="1" fontId="4" fillId="4" borderId="0" xfId="0" applyNumberFormat="1" applyFont="1" applyFill="1" applyBorder="1" applyAlignment="1">
      <alignment horizontal="right" indent="2"/>
    </xf>
    <xf numFmtId="4" fontId="4" fillId="3" borderId="0" xfId="0" applyNumberFormat="1" applyFont="1" applyFill="1" applyBorder="1" applyAlignment="1"/>
    <xf numFmtId="1" fontId="4" fillId="4" borderId="1" xfId="0" applyNumberFormat="1" applyFont="1" applyFill="1" applyBorder="1" applyAlignment="1">
      <alignment horizontal="right" indent="2"/>
    </xf>
    <xf numFmtId="0" fontId="7" fillId="4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left" wrapText="1"/>
    </xf>
    <xf numFmtId="4" fontId="3" fillId="4" borderId="4" xfId="1" applyNumberFormat="1" applyFont="1" applyFill="1" applyBorder="1" applyAlignment="1">
      <alignment horizontal="right" indent="1"/>
    </xf>
    <xf numFmtId="4" fontId="4" fillId="4" borderId="4" xfId="0" applyNumberFormat="1" applyFont="1" applyFill="1" applyBorder="1" applyAlignment="1">
      <alignment horizontal="right" indent="1"/>
    </xf>
    <xf numFmtId="4" fontId="4" fillId="4" borderId="4" xfId="2" applyNumberFormat="1" applyFont="1" applyFill="1" applyBorder="1" applyAlignment="1">
      <alignment horizontal="right" indent="1"/>
    </xf>
    <xf numFmtId="4" fontId="4" fillId="3" borderId="4" xfId="0" applyNumberFormat="1" applyFont="1" applyFill="1" applyBorder="1" applyAlignment="1">
      <alignment horizontal="left" wrapText="1"/>
    </xf>
    <xf numFmtId="4" fontId="4" fillId="3" borderId="4" xfId="0" applyNumberFormat="1" applyFont="1" applyFill="1" applyBorder="1" applyAlignment="1"/>
    <xf numFmtId="4" fontId="4" fillId="4" borderId="4" xfId="1" applyNumberFormat="1" applyFont="1" applyFill="1" applyBorder="1" applyAlignment="1">
      <alignment horizontal="right" indent="1"/>
    </xf>
    <xf numFmtId="4" fontId="4" fillId="4" borderId="8" xfId="1" applyNumberFormat="1" applyFont="1" applyFill="1" applyBorder="1" applyAlignment="1">
      <alignment horizontal="right" indent="1"/>
    </xf>
    <xf numFmtId="0" fontId="7" fillId="4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left" wrapText="1"/>
    </xf>
    <xf numFmtId="1" fontId="3" fillId="4" borderId="3" xfId="1" applyNumberFormat="1" applyFont="1" applyFill="1" applyBorder="1" applyAlignment="1">
      <alignment horizontal="right" indent="2"/>
    </xf>
    <xf numFmtId="1" fontId="4" fillId="4" borderId="3" xfId="1" applyNumberFormat="1" applyFont="1" applyFill="1" applyBorder="1" applyAlignment="1">
      <alignment horizontal="right" indent="2"/>
    </xf>
    <xf numFmtId="1" fontId="4" fillId="4" borderId="3" xfId="0" applyNumberFormat="1" applyFont="1" applyFill="1" applyBorder="1" applyAlignment="1">
      <alignment horizontal="right" indent="2"/>
    </xf>
    <xf numFmtId="2" fontId="4" fillId="3" borderId="3" xfId="0" applyNumberFormat="1" applyFont="1" applyFill="1" applyBorder="1" applyAlignment="1">
      <alignment horizontal="left" wrapText="1" indent="1"/>
    </xf>
    <xf numFmtId="2" fontId="4" fillId="3" borderId="3" xfId="0" applyNumberFormat="1" applyFont="1" applyFill="1" applyBorder="1" applyAlignment="1">
      <alignment horizontal="left" indent="1"/>
    </xf>
    <xf numFmtId="4" fontId="3" fillId="4" borderId="3" xfId="1" applyNumberFormat="1" applyFont="1" applyFill="1" applyBorder="1" applyAlignment="1">
      <alignment horizontal="right" indent="1"/>
    </xf>
    <xf numFmtId="4" fontId="4" fillId="4" borderId="3" xfId="1" applyNumberFormat="1" applyFont="1" applyFill="1" applyBorder="1" applyAlignment="1">
      <alignment horizontal="right" indent="1"/>
    </xf>
    <xf numFmtId="4" fontId="4" fillId="4" borderId="7" xfId="1" applyNumberFormat="1" applyFont="1" applyFill="1" applyBorder="1" applyAlignment="1">
      <alignment horizontal="right" indent="1"/>
    </xf>
    <xf numFmtId="4" fontId="4" fillId="4" borderId="8" xfId="2" applyNumberFormat="1" applyFont="1" applyFill="1" applyBorder="1" applyAlignment="1">
      <alignment horizontal="right" indent="1"/>
    </xf>
    <xf numFmtId="4" fontId="4" fillId="4" borderId="1" xfId="2" applyNumberFormat="1" applyFont="1" applyFill="1" applyBorder="1" applyAlignment="1">
      <alignment horizontal="right" indent="1"/>
    </xf>
    <xf numFmtId="1" fontId="4" fillId="4" borderId="7" xfId="0" applyNumberFormat="1" applyFont="1" applyFill="1" applyBorder="1" applyAlignment="1">
      <alignment horizontal="right" indent="2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3" fontId="3" fillId="0" borderId="2" xfId="1" applyNumberFormat="1" applyFont="1" applyBorder="1" applyAlignment="1">
      <alignment horizontal="right" indent="1"/>
    </xf>
    <xf numFmtId="3" fontId="3" fillId="0" borderId="2" xfId="0" applyNumberFormat="1" applyFont="1" applyBorder="1" applyAlignment="1">
      <alignment horizontal="right" indent="1"/>
    </xf>
    <xf numFmtId="4" fontId="4" fillId="0" borderId="2" xfId="1" applyNumberFormat="1" applyFont="1" applyBorder="1" applyAlignment="1">
      <alignment horizontal="right" indent="1"/>
    </xf>
    <xf numFmtId="3" fontId="3" fillId="0" borderId="0" xfId="1" applyNumberFormat="1" applyFont="1" applyBorder="1" applyAlignment="1">
      <alignment horizontal="right" indent="1"/>
    </xf>
    <xf numFmtId="3" fontId="3" fillId="0" borderId="0" xfId="0" applyNumberFormat="1" applyFont="1" applyBorder="1" applyAlignment="1">
      <alignment horizontal="right" indent="1"/>
    </xf>
    <xf numFmtId="4" fontId="4" fillId="0" borderId="0" xfId="1" applyNumberFormat="1" applyFont="1" applyBorder="1" applyAlignment="1">
      <alignment horizontal="right" indent="1"/>
    </xf>
    <xf numFmtId="3" fontId="4" fillId="0" borderId="0" xfId="0" applyNumberFormat="1" applyFont="1" applyBorder="1" applyAlignment="1">
      <alignment horizontal="right" indent="1"/>
    </xf>
    <xf numFmtId="3" fontId="4" fillId="0" borderId="0" xfId="1" applyNumberFormat="1" applyFont="1" applyBorder="1" applyAlignment="1">
      <alignment horizontal="right" indent="1"/>
    </xf>
    <xf numFmtId="0" fontId="4" fillId="2" borderId="0" xfId="0" applyFont="1" applyFill="1" applyBorder="1" applyAlignment="1">
      <alignment horizontal="right" wrapText="1" indent="1" shrinkToFit="1"/>
    </xf>
    <xf numFmtId="0" fontId="4" fillId="2" borderId="1" xfId="0" applyFont="1" applyFill="1" applyBorder="1" applyAlignment="1">
      <alignment horizontal="right" wrapText="1" indent="1" shrinkToFit="1"/>
    </xf>
    <xf numFmtId="164" fontId="4" fillId="0" borderId="1" xfId="1" applyFont="1" applyFill="1" applyBorder="1" applyAlignment="1">
      <alignment horizontal="right" wrapText="1" indent="1" shrinkToFit="1"/>
    </xf>
    <xf numFmtId="0" fontId="7" fillId="0" borderId="2" xfId="1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left" wrapText="1" indent="1" shrinkToFit="1"/>
    </xf>
    <xf numFmtId="0" fontId="7" fillId="0" borderId="2" xfId="0" applyFont="1" applyBorder="1" applyAlignment="1">
      <alignment horizontal="left"/>
    </xf>
    <xf numFmtId="0" fontId="5" fillId="4" borderId="2" xfId="0" applyFont="1" applyFill="1" applyBorder="1" applyAlignment="1">
      <alignment horizontal="left" indent="1"/>
    </xf>
    <xf numFmtId="0" fontId="14" fillId="0" borderId="0" xfId="0" applyFont="1" applyAlignment="1">
      <alignment horizontal="left"/>
    </xf>
    <xf numFmtId="0" fontId="15" fillId="0" borderId="0" xfId="0" applyFont="1"/>
    <xf numFmtId="0" fontId="7" fillId="0" borderId="0" xfId="0" applyFont="1"/>
    <xf numFmtId="0" fontId="4" fillId="0" borderId="0" xfId="0" applyFont="1" applyAlignment="1"/>
    <xf numFmtId="0" fontId="7" fillId="0" borderId="0" xfId="0" applyFont="1" applyAlignment="1">
      <alignment horizontal="right"/>
    </xf>
    <xf numFmtId="0" fontId="17" fillId="0" borderId="0" xfId="4" applyFont="1" applyAlignment="1" applyProtection="1"/>
    <xf numFmtId="0" fontId="3" fillId="0" borderId="0" xfId="0" applyFont="1" applyAlignment="1">
      <alignment horizontal="left"/>
    </xf>
    <xf numFmtId="0" fontId="18" fillId="0" borderId="0" xfId="4" applyFont="1" applyAlignment="1" applyProtection="1">
      <alignment horizontal="center"/>
    </xf>
    <xf numFmtId="0" fontId="4" fillId="0" borderId="0" xfId="0" applyFont="1" applyAlignment="1">
      <alignment horizontal="left"/>
    </xf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left"/>
    </xf>
    <xf numFmtId="15" fontId="4" fillId="0" borderId="0" xfId="0" applyNumberFormat="1" applyFont="1" applyAlignment="1">
      <alignment horizontal="left"/>
    </xf>
    <xf numFmtId="0" fontId="2" fillId="3" borderId="0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1" fontId="7" fillId="0" borderId="2" xfId="0" applyNumberFormat="1" applyFont="1" applyBorder="1" applyAlignment="1">
      <alignment horizontal="left" indent="1"/>
    </xf>
    <xf numFmtId="1" fontId="7" fillId="0" borderId="0" xfId="0" applyNumberFormat="1" applyFont="1" applyBorder="1" applyAlignment="1">
      <alignment horizontal="left" indent="1"/>
    </xf>
    <xf numFmtId="2" fontId="7" fillId="0" borderId="1" xfId="1" applyNumberFormat="1" applyFont="1" applyBorder="1" applyAlignment="1">
      <alignment horizontal="left" indent="1"/>
    </xf>
    <xf numFmtId="2" fontId="4" fillId="0" borderId="0" xfId="1" applyNumberFormat="1" applyFont="1" applyBorder="1" applyAlignment="1">
      <alignment horizontal="right" indent="1"/>
    </xf>
    <xf numFmtId="4" fontId="3" fillId="0" borderId="2" xfId="1" applyNumberFormat="1" applyFont="1" applyBorder="1" applyAlignment="1">
      <alignment horizontal="right" indent="1"/>
    </xf>
    <xf numFmtId="4" fontId="3" fillId="0" borderId="0" xfId="1" applyNumberFormat="1" applyFont="1" applyBorder="1" applyAlignment="1">
      <alignment horizontal="right" indent="1"/>
    </xf>
    <xf numFmtId="4" fontId="3" fillId="0" borderId="1" xfId="1" applyNumberFormat="1" applyFont="1" applyBorder="1" applyAlignment="1">
      <alignment horizontal="right" indent="1"/>
    </xf>
    <xf numFmtId="3" fontId="5" fillId="0" borderId="2" xfId="1" applyNumberFormat="1" applyFont="1" applyBorder="1" applyAlignment="1">
      <alignment horizontal="left" indent="1"/>
    </xf>
    <xf numFmtId="3" fontId="5" fillId="0" borderId="0" xfId="1" applyNumberFormat="1" applyFont="1" applyBorder="1" applyAlignment="1">
      <alignment horizontal="left" indent="1"/>
    </xf>
    <xf numFmtId="3" fontId="7" fillId="0" borderId="0" xfId="1" applyNumberFormat="1" applyFont="1" applyBorder="1" applyAlignment="1">
      <alignment horizontal="left"/>
    </xf>
    <xf numFmtId="164" fontId="7" fillId="0" borderId="1" xfId="1" applyFont="1" applyFill="1" applyBorder="1" applyAlignment="1">
      <alignment horizontal="left" wrapText="1" shrinkToFi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1" fontId="3" fillId="4" borderId="2" xfId="1" applyNumberFormat="1" applyFont="1" applyFill="1" applyBorder="1" applyAlignment="1">
      <alignment horizontal="right" indent="2"/>
    </xf>
    <xf numFmtId="4" fontId="3" fillId="4" borderId="2" xfId="1" applyNumberFormat="1" applyFont="1" applyFill="1" applyBorder="1" applyAlignment="1">
      <alignment horizontal="right" indent="1"/>
    </xf>
    <xf numFmtId="1" fontId="3" fillId="4" borderId="5" xfId="1" applyNumberFormat="1" applyFont="1" applyFill="1" applyBorder="1" applyAlignment="1">
      <alignment horizontal="right" indent="2"/>
    </xf>
    <xf numFmtId="4" fontId="3" fillId="4" borderId="6" xfId="1" applyNumberFormat="1" applyFont="1" applyFill="1" applyBorder="1" applyAlignment="1">
      <alignment horizontal="right" indent="1"/>
    </xf>
    <xf numFmtId="0" fontId="7" fillId="4" borderId="9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20" fillId="0" borderId="0" xfId="0" applyFont="1"/>
    <xf numFmtId="15" fontId="7" fillId="0" borderId="0" xfId="0" quotePrefix="1" applyNumberFormat="1" applyFont="1" applyAlignment="1">
      <alignment horizontal="left"/>
    </xf>
    <xf numFmtId="0" fontId="21" fillId="0" borderId="0" xfId="0" applyFont="1"/>
    <xf numFmtId="0" fontId="17" fillId="0" borderId="0" xfId="4" applyFont="1" applyAlignment="1" applyProtection="1">
      <alignment horizontal="left" indent="1"/>
    </xf>
    <xf numFmtId="0" fontId="5" fillId="0" borderId="0" xfId="0" applyFont="1" applyAlignment="1">
      <alignment horizontal="left" indent="1"/>
    </xf>
    <xf numFmtId="0" fontId="5" fillId="0" borderId="0" xfId="0" quotePrefix="1" applyFont="1" applyAlignment="1">
      <alignment horizontal="left" indent="1"/>
    </xf>
    <xf numFmtId="0" fontId="3" fillId="0" borderId="2" xfId="0" quotePrefix="1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3" fillId="0" borderId="1" xfId="0" quotePrefix="1" applyFont="1" applyBorder="1" applyAlignment="1">
      <alignment horizontal="right"/>
    </xf>
    <xf numFmtId="0" fontId="22" fillId="0" borderId="0" xfId="0" applyFont="1"/>
    <xf numFmtId="0" fontId="2" fillId="0" borderId="0" xfId="0" applyFont="1" applyAlignment="1">
      <alignment vertical="center" readingOrder="1"/>
    </xf>
    <xf numFmtId="0" fontId="24" fillId="0" borderId="0" xfId="0" applyFont="1" applyAlignment="1">
      <alignment vertical="center" readingOrder="1"/>
    </xf>
    <xf numFmtId="2" fontId="4" fillId="4" borderId="0" xfId="0" applyNumberFormat="1" applyFont="1" applyFill="1" applyBorder="1" applyAlignment="1">
      <alignment horizontal="right" indent="1"/>
    </xf>
    <xf numFmtId="2" fontId="4" fillId="4" borderId="1" xfId="0" applyNumberFormat="1" applyFont="1" applyFill="1" applyBorder="1" applyAlignment="1">
      <alignment horizontal="right" indent="1"/>
    </xf>
    <xf numFmtId="0" fontId="5" fillId="0" borderId="0" xfId="0" applyFont="1" applyBorder="1" applyAlignment="1">
      <alignment horizontal="left" wrapText="1"/>
    </xf>
    <xf numFmtId="0" fontId="23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0" fillId="0" borderId="0" xfId="0" applyFont="1" applyAlignment="1">
      <alignment horizontal="left" vertical="center" indent="2" readingOrder="1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 vertical="top"/>
    </xf>
    <xf numFmtId="43" fontId="0" fillId="0" borderId="0" xfId="0" applyNumberFormat="1"/>
    <xf numFmtId="167" fontId="4" fillId="0" borderId="0" xfId="0" quotePrefix="1" applyNumberFormat="1" applyFont="1" applyAlignment="1">
      <alignment horizontal="left" indent="1"/>
    </xf>
    <xf numFmtId="0" fontId="18" fillId="0" borderId="0" xfId="4" applyFont="1" applyAlignment="1" applyProtection="1">
      <alignment vertical="top" wrapText="1"/>
    </xf>
    <xf numFmtId="0" fontId="18" fillId="0" borderId="0" xfId="4" applyFont="1" applyAlignment="1" applyProtection="1">
      <alignment vertical="top"/>
    </xf>
    <xf numFmtId="0" fontId="18" fillId="0" borderId="0" xfId="4" applyFont="1" applyAlignment="1" applyProtection="1"/>
    <xf numFmtId="0" fontId="9" fillId="0" borderId="0" xfId="0" applyFont="1" applyAlignment="1">
      <alignment horizontal="left" wrapText="1" indent="1"/>
    </xf>
    <xf numFmtId="0" fontId="7" fillId="4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left" wrapText="1" inden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165" fontId="10" fillId="0" borderId="0" xfId="1" applyNumberFormat="1" applyFont="1" applyBorder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20" Type="http://schemas.openxmlformats.org/officeDocument/2006/relationships/externalLink" Target="externalLinks/externalLink6.xml"/><Relationship Id="rId41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main%202%20-%20Economic%20Statistics\2.4%20Sectoral\2.4.3%20Mining,%20Manufacturing,%20Construction\Construction\2022%20Building%20Permits\2021%20Building%20Statistics%20-%20Current%202020%20(abridged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struction\2010%20Building%20Permits\Building%20Board%20Statistic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struction\2011%20Building%20Permits\Building%20Board%20Statistics%20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struction\2012%20Building%20Permits\Building%20Board%20Statistics%2020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struction\2013%20Building%20Permits\Building%20Board%20Statistics%20201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main%202%20-%20Economic%20Statistics\2.4%20Sectoral%20Statistics\2.4.3%20Mining,%20Manufacturing,%20Construction\Construction\2016%20Building%20Permits\Building%20Board%20Statistics%20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struction\2014%20Building%20Permits\Building%20Board%20Statistics%2020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struction\2015%20Building%20Permits\Building%20Board%20Statistics%20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struction\2016%20Building%20Permits\Building%20Board%20Statistics%20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struction\Electricial%20Inspection\Electrical%20Inspection%20Stats%20(2009)%20-%20Nov%20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struction\Electricial%20Inspection\Electrical%20Inspection%20Stats%20(2010)%20-%20July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struction\2002%20Building%20Permits\Annual%20building%20permits%20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struction\Electricial%20Inspection\Electrical%20Inspection%20Stats%20(2011)%20-%20July%20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rade\Cement%20Imports\Cement%20and%20Block%20Imports%20(Treasury%20file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rade\Cement%20and%20Block%20Imports\Cement%20and%20Block%20Imports%20(%20Treasury%20file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rade\Cement%20and%20Block%20Imports\Cement%20and%20Block%20Import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main%202%20-%20Economic%20Statistics\2.6%20International%20Trade%20and%20Balance%20of%20Payments\2.6.1%20Merchandise%20Trade\Cement%20and%20Block%20Imports\Cement%20and%20Block%20Import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main%202%20-%20Economic%20Statistics\2.6%20MIT%20and%20BOP\2.6.1%20Merchandise%20Trade\Cement%20and%20Block%20Imports\Cement%20and%20Block%20Impor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rade\Cement%20Imports\Cement%20and%20Block%20Imports%20(%20Treasury%20file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main%202%20-%20Economic%20Statistics\2.4%20Sectoral\2.4.3%20Mining,%20Manufacturing,%20Construction\Construction\2023%20Building%20Permits\DPP%20-%20Building%20Statistics%20-%20Current%202021-2022%20(Abridged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struction\2003%20Building%20Permits\Building%20Permits%20Stats%20Report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struction\2004%20Building%20Permits\Building%20Permits%20from%20Jan%20-%20Dec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struction\2005%20Building%20Permits\Building%20Permits%20-%20Full%20Year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struction\2006%20Building%20Permits\2006%20Building%20Permits%20-%20Physical%20Planning%20-%20Dec%20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struction\2007%20Building%20Permits\2007%20Building%20Permits%20-%20Physical%20Planning%20-%20Dec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struction\2008%20Building%20Permits\2008%20Building%20Permits%20-%20Physical%20Planning%20-%20Jan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struction\2009%20Building%20Permits\Building%20Board%20Statistics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K5">
            <v>71</v>
          </cell>
          <cell r="L5">
            <v>59</v>
          </cell>
        </row>
        <row r="6">
          <cell r="K6">
            <v>17</v>
          </cell>
          <cell r="L6">
            <v>28</v>
          </cell>
        </row>
        <row r="7">
          <cell r="K7">
            <v>2</v>
          </cell>
          <cell r="L7">
            <v>4</v>
          </cell>
        </row>
        <row r="8">
          <cell r="K8">
            <v>8</v>
          </cell>
          <cell r="L8">
            <v>16</v>
          </cell>
        </row>
        <row r="9">
          <cell r="K9">
            <v>0</v>
          </cell>
          <cell r="L9">
            <v>1</v>
          </cell>
        </row>
        <row r="10">
          <cell r="K10">
            <v>3</v>
          </cell>
          <cell r="L10">
            <v>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ing statistics 2007"/>
      <sheetName val="Building statistics 2006"/>
      <sheetName val="Building Statistics 2010"/>
      <sheetName val="Statistical Report Sheet"/>
      <sheetName val="Statistical Data"/>
    </sheetNames>
    <sheetDataSet>
      <sheetData sheetId="0" refreshError="1"/>
      <sheetData sheetId="1" refreshError="1"/>
      <sheetData sheetId="2"/>
      <sheetData sheetId="3"/>
      <sheetData sheetId="4">
        <row r="8">
          <cell r="C8">
            <v>5</v>
          </cell>
          <cell r="D8">
            <v>2664900</v>
          </cell>
          <cell r="E8">
            <v>1</v>
          </cell>
          <cell r="F8">
            <v>945000</v>
          </cell>
          <cell r="G8">
            <v>0</v>
          </cell>
          <cell r="H8">
            <v>0</v>
          </cell>
          <cell r="I8">
            <v>1</v>
          </cell>
          <cell r="J8">
            <v>211700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4</v>
          </cell>
          <cell r="D9">
            <v>1863500</v>
          </cell>
          <cell r="E9">
            <v>5</v>
          </cell>
          <cell r="F9">
            <v>1982800</v>
          </cell>
          <cell r="G9">
            <v>0</v>
          </cell>
          <cell r="H9">
            <v>0</v>
          </cell>
          <cell r="I9">
            <v>3</v>
          </cell>
          <cell r="J9">
            <v>214600</v>
          </cell>
          <cell r="K9">
            <v>0</v>
          </cell>
          <cell r="L9">
            <v>0</v>
          </cell>
          <cell r="M9">
            <v>1</v>
          </cell>
          <cell r="N9">
            <v>480200</v>
          </cell>
        </row>
        <row r="10">
          <cell r="C10">
            <v>13</v>
          </cell>
          <cell r="D10">
            <v>5470000</v>
          </cell>
          <cell r="E10">
            <v>3</v>
          </cell>
          <cell r="F10">
            <v>1442700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  <cell r="N10">
            <v>96600</v>
          </cell>
        </row>
        <row r="12">
          <cell r="C12">
            <v>17</v>
          </cell>
          <cell r="D12">
            <v>4318300</v>
          </cell>
          <cell r="E12">
            <v>4</v>
          </cell>
          <cell r="F12">
            <v>2082500</v>
          </cell>
          <cell r="G12">
            <v>1</v>
          </cell>
          <cell r="H12">
            <v>109200</v>
          </cell>
          <cell r="I12">
            <v>1</v>
          </cell>
          <cell r="J12">
            <v>184000</v>
          </cell>
          <cell r="K12">
            <v>0</v>
          </cell>
          <cell r="L12">
            <v>0</v>
          </cell>
          <cell r="M12">
            <v>1</v>
          </cell>
          <cell r="N12">
            <v>192000</v>
          </cell>
        </row>
        <row r="13">
          <cell r="C13">
            <v>8</v>
          </cell>
          <cell r="D13">
            <v>2719246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866900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8</v>
          </cell>
          <cell r="D14">
            <v>2632400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</v>
          </cell>
          <cell r="J14">
            <v>193600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6">
          <cell r="C16">
            <v>11</v>
          </cell>
          <cell r="D16">
            <v>3545500</v>
          </cell>
          <cell r="E16">
            <v>2</v>
          </cell>
          <cell r="F16">
            <v>1820500</v>
          </cell>
          <cell r="G16">
            <v>4</v>
          </cell>
          <cell r="H16">
            <v>1122900</v>
          </cell>
          <cell r="I16">
            <v>1</v>
          </cell>
          <cell r="J16">
            <v>1000000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8</v>
          </cell>
          <cell r="D17">
            <v>2786200</v>
          </cell>
          <cell r="E17">
            <v>1</v>
          </cell>
          <cell r="F17">
            <v>543800</v>
          </cell>
          <cell r="G17">
            <v>0</v>
          </cell>
          <cell r="H17">
            <v>0</v>
          </cell>
          <cell r="I17">
            <v>1</v>
          </cell>
          <cell r="J17">
            <v>153600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6</v>
          </cell>
          <cell r="D18">
            <v>1263300</v>
          </cell>
          <cell r="E18">
            <v>3</v>
          </cell>
          <cell r="F18">
            <v>624100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</row>
        <row r="20">
          <cell r="C20">
            <v>8</v>
          </cell>
          <cell r="D20">
            <v>2259100</v>
          </cell>
          <cell r="E20">
            <v>1</v>
          </cell>
          <cell r="F20">
            <v>149700</v>
          </cell>
          <cell r="G20">
            <v>0</v>
          </cell>
          <cell r="H20">
            <v>0</v>
          </cell>
          <cell r="I20">
            <v>3</v>
          </cell>
          <cell r="J20">
            <v>227600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9</v>
          </cell>
          <cell r="D21">
            <v>2531858</v>
          </cell>
          <cell r="E21">
            <v>1</v>
          </cell>
          <cell r="F21">
            <v>410800</v>
          </cell>
          <cell r="G21">
            <v>2</v>
          </cell>
          <cell r="H21">
            <v>1556800</v>
          </cell>
          <cell r="I21">
            <v>2</v>
          </cell>
          <cell r="J21">
            <v>167800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11</v>
          </cell>
          <cell r="D22">
            <v>3354600</v>
          </cell>
          <cell r="E22">
            <v>5</v>
          </cell>
          <cell r="F22">
            <v>2369166</v>
          </cell>
          <cell r="G22">
            <v>0</v>
          </cell>
          <cell r="H22">
            <v>0</v>
          </cell>
          <cell r="I22">
            <v>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ing statistics 2007"/>
      <sheetName val="Building statistics 2006"/>
      <sheetName val="Building Statistics 2010"/>
      <sheetName val="Building Statistics 2011"/>
      <sheetName val="Statistical 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C8">
            <v>4</v>
          </cell>
          <cell r="D8">
            <v>1511000</v>
          </cell>
          <cell r="E8">
            <v>0</v>
          </cell>
          <cell r="F8">
            <v>0</v>
          </cell>
          <cell r="G8">
            <v>1</v>
          </cell>
          <cell r="H8">
            <v>96600</v>
          </cell>
          <cell r="I8">
            <v>1</v>
          </cell>
          <cell r="J8">
            <v>452500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13</v>
          </cell>
          <cell r="D9">
            <v>3700700</v>
          </cell>
          <cell r="E9">
            <v>2</v>
          </cell>
          <cell r="F9">
            <v>1958200</v>
          </cell>
          <cell r="G9">
            <v>0</v>
          </cell>
          <cell r="H9">
            <v>0</v>
          </cell>
          <cell r="I9">
            <v>2</v>
          </cell>
          <cell r="J9">
            <v>2025600</v>
          </cell>
          <cell r="K9">
            <v>0</v>
          </cell>
          <cell r="L9">
            <v>0</v>
          </cell>
          <cell r="M9">
            <v>1</v>
          </cell>
          <cell r="N9">
            <v>980000</v>
          </cell>
        </row>
        <row r="10">
          <cell r="C10">
            <v>12</v>
          </cell>
          <cell r="D10">
            <v>4247400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260600</v>
          </cell>
          <cell r="K10">
            <v>1</v>
          </cell>
          <cell r="L10">
            <v>600000</v>
          </cell>
          <cell r="M10">
            <v>2</v>
          </cell>
          <cell r="N10">
            <v>772800</v>
          </cell>
        </row>
        <row r="12">
          <cell r="C12">
            <v>6</v>
          </cell>
          <cell r="D12">
            <v>1743200</v>
          </cell>
          <cell r="E12">
            <v>5</v>
          </cell>
          <cell r="F12">
            <v>1393900</v>
          </cell>
          <cell r="G12">
            <v>0</v>
          </cell>
          <cell r="H12">
            <v>0</v>
          </cell>
          <cell r="I12">
            <v>2</v>
          </cell>
          <cell r="J12">
            <v>768700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4</v>
          </cell>
          <cell r="D13">
            <v>1606200</v>
          </cell>
          <cell r="E13">
            <v>2</v>
          </cell>
          <cell r="F13">
            <v>1045100</v>
          </cell>
          <cell r="G13">
            <v>4</v>
          </cell>
          <cell r="H13">
            <v>7412800</v>
          </cell>
          <cell r="I13">
            <v>3</v>
          </cell>
          <cell r="J13">
            <v>1678100</v>
          </cell>
          <cell r="K13">
            <v>0</v>
          </cell>
          <cell r="L13">
            <v>0</v>
          </cell>
          <cell r="M13">
            <v>2</v>
          </cell>
          <cell r="N13">
            <v>450400</v>
          </cell>
        </row>
        <row r="14">
          <cell r="C14">
            <v>9</v>
          </cell>
          <cell r="D14">
            <v>3513900</v>
          </cell>
          <cell r="E14">
            <v>4</v>
          </cell>
          <cell r="F14">
            <v>834300</v>
          </cell>
          <cell r="G14">
            <v>0</v>
          </cell>
          <cell r="H14">
            <v>0</v>
          </cell>
          <cell r="I14">
            <v>2</v>
          </cell>
          <cell r="J14">
            <v>552400</v>
          </cell>
          <cell r="K14">
            <v>0</v>
          </cell>
          <cell r="L14">
            <v>0</v>
          </cell>
          <cell r="M14">
            <v>1</v>
          </cell>
          <cell r="N14">
            <v>0</v>
          </cell>
        </row>
        <row r="16">
          <cell r="C16">
            <v>8</v>
          </cell>
          <cell r="D16">
            <v>1462800</v>
          </cell>
          <cell r="E16">
            <v>1</v>
          </cell>
          <cell r="F16">
            <v>333500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135000</v>
          </cell>
        </row>
        <row r="17">
          <cell r="C17">
            <v>5</v>
          </cell>
          <cell r="D17">
            <v>2326900</v>
          </cell>
          <cell r="E17">
            <v>1</v>
          </cell>
          <cell r="F17">
            <v>50000</v>
          </cell>
          <cell r="G17">
            <v>3</v>
          </cell>
          <cell r="H17">
            <v>1464600</v>
          </cell>
          <cell r="I17">
            <v>2</v>
          </cell>
          <cell r="J17">
            <v>548800</v>
          </cell>
          <cell r="K17">
            <v>0</v>
          </cell>
          <cell r="L17">
            <v>0</v>
          </cell>
          <cell r="M17">
            <v>2</v>
          </cell>
          <cell r="N17">
            <v>283300</v>
          </cell>
        </row>
        <row r="18">
          <cell r="C18">
            <v>5</v>
          </cell>
          <cell r="D18">
            <v>1126600</v>
          </cell>
          <cell r="E18">
            <v>3</v>
          </cell>
          <cell r="F18">
            <v>2206300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</v>
          </cell>
          <cell r="N18">
            <v>80000</v>
          </cell>
        </row>
        <row r="20">
          <cell r="C20">
            <v>6</v>
          </cell>
          <cell r="D20">
            <v>2831400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4</v>
          </cell>
          <cell r="N20">
            <v>1433700</v>
          </cell>
        </row>
        <row r="21">
          <cell r="C21">
            <v>10</v>
          </cell>
          <cell r="D21">
            <v>4030700</v>
          </cell>
          <cell r="E21">
            <v>1</v>
          </cell>
          <cell r="F21">
            <v>1625500</v>
          </cell>
          <cell r="G21">
            <v>0</v>
          </cell>
          <cell r="H21">
            <v>0</v>
          </cell>
          <cell r="I21">
            <v>1</v>
          </cell>
          <cell r="J21">
            <v>64000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7</v>
          </cell>
          <cell r="D22">
            <v>3134300</v>
          </cell>
          <cell r="E22">
            <v>1</v>
          </cell>
          <cell r="F22">
            <v>492000</v>
          </cell>
          <cell r="G22">
            <v>0</v>
          </cell>
          <cell r="H22">
            <v>0</v>
          </cell>
          <cell r="I22">
            <v>2</v>
          </cell>
          <cell r="J22">
            <v>2312300</v>
          </cell>
          <cell r="K22">
            <v>0</v>
          </cell>
          <cell r="L22">
            <v>0</v>
          </cell>
          <cell r="M22">
            <v>1</v>
          </cell>
          <cell r="N22">
            <v>39600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ing statistics 2007"/>
      <sheetName val="Building statistics 2006"/>
      <sheetName val="Building Statistics 2010"/>
      <sheetName val="Building Statistics 2011"/>
      <sheetName val="Building Statistics 2012"/>
      <sheetName val="Statistica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C8">
            <v>8</v>
          </cell>
          <cell r="D8">
            <v>2392400</v>
          </cell>
          <cell r="E8">
            <v>3</v>
          </cell>
          <cell r="F8">
            <v>1119000</v>
          </cell>
          <cell r="G8">
            <v>1</v>
          </cell>
          <cell r="H8">
            <v>6581200</v>
          </cell>
          <cell r="I8">
            <v>3</v>
          </cell>
          <cell r="J8">
            <v>620000</v>
          </cell>
          <cell r="K8">
            <v>1</v>
          </cell>
          <cell r="L8">
            <v>104400</v>
          </cell>
          <cell r="M8">
            <v>0</v>
          </cell>
          <cell r="N8">
            <v>0</v>
          </cell>
        </row>
        <row r="9">
          <cell r="C9">
            <v>11</v>
          </cell>
          <cell r="D9">
            <v>4659258</v>
          </cell>
          <cell r="E9">
            <v>1</v>
          </cell>
          <cell r="F9">
            <v>921900</v>
          </cell>
          <cell r="G9">
            <v>0</v>
          </cell>
          <cell r="H9">
            <v>0</v>
          </cell>
          <cell r="I9">
            <v>1</v>
          </cell>
          <cell r="J9">
            <v>58800</v>
          </cell>
          <cell r="K9">
            <v>0</v>
          </cell>
          <cell r="L9">
            <v>0</v>
          </cell>
          <cell r="M9">
            <v>1</v>
          </cell>
          <cell r="N9">
            <v>0</v>
          </cell>
        </row>
        <row r="10">
          <cell r="C10">
            <v>9</v>
          </cell>
          <cell r="D10">
            <v>2550900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96100</v>
          </cell>
          <cell r="K10">
            <v>2</v>
          </cell>
          <cell r="L10">
            <v>138800</v>
          </cell>
          <cell r="M10">
            <v>1</v>
          </cell>
          <cell r="N10">
            <v>288000</v>
          </cell>
        </row>
        <row r="12">
          <cell r="C12">
            <v>8</v>
          </cell>
          <cell r="D12">
            <v>3691500</v>
          </cell>
          <cell r="E12">
            <v>0</v>
          </cell>
          <cell r="F12">
            <v>0</v>
          </cell>
          <cell r="G12">
            <v>1</v>
          </cell>
          <cell r="H12">
            <v>389000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2</v>
          </cell>
          <cell r="N12">
            <v>2047800</v>
          </cell>
        </row>
        <row r="13">
          <cell r="C13">
            <v>8</v>
          </cell>
          <cell r="D13">
            <v>2488500</v>
          </cell>
          <cell r="E13">
            <v>2</v>
          </cell>
          <cell r="F13">
            <v>1517200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2</v>
          </cell>
          <cell r="N13">
            <v>32000</v>
          </cell>
        </row>
        <row r="14">
          <cell r="C14">
            <v>3</v>
          </cell>
          <cell r="D14">
            <v>1197360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</v>
          </cell>
          <cell r="J14">
            <v>87780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6">
          <cell r="C16">
            <v>8</v>
          </cell>
          <cell r="D16">
            <v>1871900</v>
          </cell>
          <cell r="E16">
            <v>3</v>
          </cell>
          <cell r="F16">
            <v>1703400</v>
          </cell>
          <cell r="G16">
            <v>0</v>
          </cell>
          <cell r="H16">
            <v>0</v>
          </cell>
          <cell r="I16">
            <v>1</v>
          </cell>
          <cell r="J16">
            <v>25600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3</v>
          </cell>
          <cell r="D17">
            <v>394100</v>
          </cell>
          <cell r="E17">
            <v>1</v>
          </cell>
          <cell r="F17">
            <v>114300</v>
          </cell>
          <cell r="G17">
            <v>0</v>
          </cell>
          <cell r="H17">
            <v>0</v>
          </cell>
          <cell r="I17">
            <v>4</v>
          </cell>
          <cell r="J17">
            <v>337600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6</v>
          </cell>
          <cell r="D18">
            <v>715900</v>
          </cell>
          <cell r="E18">
            <v>1</v>
          </cell>
          <cell r="F18">
            <v>356000</v>
          </cell>
          <cell r="G18">
            <v>0</v>
          </cell>
          <cell r="H18">
            <v>0</v>
          </cell>
          <cell r="I18">
            <v>3</v>
          </cell>
          <cell r="J18">
            <v>5428800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</row>
        <row r="20">
          <cell r="C20">
            <v>5</v>
          </cell>
          <cell r="D20">
            <v>1412500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2</v>
          </cell>
          <cell r="J20">
            <v>399700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</row>
        <row r="21">
          <cell r="C21">
            <v>8</v>
          </cell>
          <cell r="D21">
            <v>1794200</v>
          </cell>
          <cell r="E21">
            <v>0</v>
          </cell>
          <cell r="F21">
            <v>0</v>
          </cell>
          <cell r="G21">
            <v>1</v>
          </cell>
          <cell r="H21">
            <v>2236000</v>
          </cell>
          <cell r="I21">
            <v>1</v>
          </cell>
          <cell r="J21">
            <v>52400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3</v>
          </cell>
          <cell r="D22">
            <v>660100</v>
          </cell>
          <cell r="E22">
            <v>0</v>
          </cell>
          <cell r="F22">
            <v>0</v>
          </cell>
          <cell r="G22">
            <v>1</v>
          </cell>
          <cell r="H22">
            <v>634400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ing Statistics 2010"/>
      <sheetName val="Building Statistics 2011"/>
      <sheetName val="Building Statistics 2012"/>
      <sheetName val="Building Statistics 2013"/>
      <sheetName val="Statistical Data"/>
      <sheetName val="Building Statistics 2014"/>
    </sheetNames>
    <sheetDataSet>
      <sheetData sheetId="0"/>
      <sheetData sheetId="1"/>
      <sheetData sheetId="2"/>
      <sheetData sheetId="3"/>
      <sheetData sheetId="4">
        <row r="8">
          <cell r="C8">
            <v>1</v>
          </cell>
          <cell r="D8">
            <v>154000</v>
          </cell>
          <cell r="E8">
            <v>2</v>
          </cell>
          <cell r="F8">
            <v>723500</v>
          </cell>
          <cell r="G8">
            <v>0</v>
          </cell>
          <cell r="H8">
            <v>0</v>
          </cell>
          <cell r="I8">
            <v>1</v>
          </cell>
          <cell r="J8">
            <v>42600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4</v>
          </cell>
          <cell r="P8">
            <v>920100</v>
          </cell>
        </row>
        <row r="9">
          <cell r="C9">
            <v>3</v>
          </cell>
          <cell r="D9">
            <v>703700</v>
          </cell>
          <cell r="E9">
            <v>2</v>
          </cell>
          <cell r="F9">
            <v>626500</v>
          </cell>
          <cell r="G9">
            <v>1</v>
          </cell>
          <cell r="H9">
            <v>349800</v>
          </cell>
          <cell r="I9">
            <v>2</v>
          </cell>
          <cell r="J9">
            <v>259000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8</v>
          </cell>
          <cell r="P9">
            <v>1939000</v>
          </cell>
        </row>
        <row r="10">
          <cell r="C10">
            <v>5</v>
          </cell>
          <cell r="D10">
            <v>1393400</v>
          </cell>
          <cell r="E10">
            <v>4</v>
          </cell>
          <cell r="F10">
            <v>2381713</v>
          </cell>
          <cell r="G10">
            <v>1</v>
          </cell>
          <cell r="H10">
            <v>568800</v>
          </cell>
          <cell r="I10">
            <v>2</v>
          </cell>
          <cell r="J10">
            <v>563000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12</v>
          </cell>
          <cell r="P10">
            <v>4906913</v>
          </cell>
        </row>
        <row r="11">
          <cell r="C11">
            <v>9</v>
          </cell>
          <cell r="D11">
            <v>2251100</v>
          </cell>
          <cell r="E11">
            <v>8</v>
          </cell>
          <cell r="F11">
            <v>3731713</v>
          </cell>
          <cell r="G11">
            <v>2</v>
          </cell>
          <cell r="H11">
            <v>918600</v>
          </cell>
          <cell r="I11">
            <v>5</v>
          </cell>
          <cell r="J11">
            <v>864600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24</v>
          </cell>
          <cell r="P11">
            <v>7766013</v>
          </cell>
        </row>
        <row r="12">
          <cell r="C12">
            <v>3</v>
          </cell>
          <cell r="D12">
            <v>1807400</v>
          </cell>
          <cell r="E12">
            <v>1</v>
          </cell>
          <cell r="F12">
            <v>247700</v>
          </cell>
          <cell r="G12">
            <v>1</v>
          </cell>
          <cell r="H12">
            <v>412400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1</v>
          </cell>
          <cell r="N12">
            <v>53500</v>
          </cell>
          <cell r="O12">
            <v>6</v>
          </cell>
          <cell r="P12">
            <v>2521000</v>
          </cell>
        </row>
        <row r="13">
          <cell r="C13">
            <v>7</v>
          </cell>
          <cell r="D13">
            <v>2969200</v>
          </cell>
          <cell r="E13">
            <v>2</v>
          </cell>
          <cell r="F13">
            <v>619200</v>
          </cell>
          <cell r="G13">
            <v>0</v>
          </cell>
          <cell r="H13">
            <v>0</v>
          </cell>
          <cell r="I13">
            <v>3</v>
          </cell>
          <cell r="J13">
            <v>1145600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12</v>
          </cell>
          <cell r="P13">
            <v>4734000</v>
          </cell>
        </row>
        <row r="14">
          <cell r="C14">
            <v>3</v>
          </cell>
          <cell r="D14">
            <v>1370700</v>
          </cell>
          <cell r="E14">
            <v>1</v>
          </cell>
          <cell r="F14">
            <v>153400</v>
          </cell>
          <cell r="G14">
            <v>0</v>
          </cell>
          <cell r="H14">
            <v>0</v>
          </cell>
          <cell r="I14">
            <v>1</v>
          </cell>
          <cell r="J14">
            <v>147000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5</v>
          </cell>
          <cell r="P14">
            <v>1671100</v>
          </cell>
        </row>
        <row r="15">
          <cell r="C15">
            <v>13</v>
          </cell>
          <cell r="D15">
            <v>6147300</v>
          </cell>
          <cell r="E15">
            <v>4</v>
          </cell>
          <cell r="F15">
            <v>1020300</v>
          </cell>
          <cell r="G15">
            <v>1</v>
          </cell>
          <cell r="H15">
            <v>412400</v>
          </cell>
          <cell r="I15">
            <v>4</v>
          </cell>
          <cell r="J15">
            <v>1292600</v>
          </cell>
          <cell r="K15">
            <v>0</v>
          </cell>
          <cell r="L15">
            <v>0</v>
          </cell>
          <cell r="M15">
            <v>1</v>
          </cell>
          <cell r="N15">
            <v>53500</v>
          </cell>
          <cell r="O15">
            <v>23</v>
          </cell>
          <cell r="P15">
            <v>8926100</v>
          </cell>
        </row>
        <row r="16">
          <cell r="C16">
            <v>4</v>
          </cell>
          <cell r="D16">
            <v>1458300</v>
          </cell>
          <cell r="E16">
            <v>4</v>
          </cell>
          <cell r="F16">
            <v>1114200</v>
          </cell>
          <cell r="G16">
            <v>2</v>
          </cell>
          <cell r="H16">
            <v>2560200</v>
          </cell>
          <cell r="I16">
            <v>3</v>
          </cell>
          <cell r="J16">
            <v>1504000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14</v>
          </cell>
          <cell r="P16">
            <v>6636700</v>
          </cell>
        </row>
        <row r="17">
          <cell r="C17">
            <v>4</v>
          </cell>
          <cell r="D17">
            <v>879500</v>
          </cell>
          <cell r="E17">
            <v>0</v>
          </cell>
          <cell r="F17">
            <v>0</v>
          </cell>
          <cell r="G17">
            <v>1</v>
          </cell>
          <cell r="H17">
            <v>696000</v>
          </cell>
          <cell r="I17">
            <v>2</v>
          </cell>
          <cell r="J17">
            <v>675000</v>
          </cell>
          <cell r="K17">
            <v>1</v>
          </cell>
          <cell r="L17">
            <v>29300</v>
          </cell>
          <cell r="M17">
            <v>0</v>
          </cell>
          <cell r="N17">
            <v>0</v>
          </cell>
          <cell r="O17">
            <v>8</v>
          </cell>
          <cell r="P17">
            <v>2279800</v>
          </cell>
        </row>
        <row r="18">
          <cell r="C18">
            <v>9</v>
          </cell>
          <cell r="D18">
            <v>2281300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</v>
          </cell>
          <cell r="J18">
            <v>708400</v>
          </cell>
          <cell r="K18">
            <v>1</v>
          </cell>
          <cell r="L18">
            <v>377900</v>
          </cell>
          <cell r="M18">
            <v>0</v>
          </cell>
          <cell r="N18">
            <v>0</v>
          </cell>
          <cell r="O18">
            <v>11</v>
          </cell>
          <cell r="P18">
            <v>3367600</v>
          </cell>
        </row>
        <row r="19">
          <cell r="C19">
            <v>17</v>
          </cell>
          <cell r="D19">
            <v>4619100</v>
          </cell>
          <cell r="E19">
            <v>4</v>
          </cell>
          <cell r="F19">
            <v>1114200</v>
          </cell>
          <cell r="G19">
            <v>3</v>
          </cell>
          <cell r="H19">
            <v>3256200</v>
          </cell>
          <cell r="I19">
            <v>6</v>
          </cell>
          <cell r="J19">
            <v>2887400</v>
          </cell>
          <cell r="K19">
            <v>3</v>
          </cell>
          <cell r="L19">
            <v>407200</v>
          </cell>
          <cell r="M19">
            <v>0</v>
          </cell>
          <cell r="N19">
            <v>0</v>
          </cell>
          <cell r="O19">
            <v>33</v>
          </cell>
          <cell r="P19">
            <v>12284100</v>
          </cell>
        </row>
        <row r="20">
          <cell r="C20">
            <v>4</v>
          </cell>
          <cell r="D20">
            <v>783800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85800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5</v>
          </cell>
          <cell r="P20">
            <v>869600</v>
          </cell>
        </row>
        <row r="21">
          <cell r="C21">
            <v>3</v>
          </cell>
          <cell r="D21">
            <v>1400900</v>
          </cell>
          <cell r="E21">
            <v>2</v>
          </cell>
          <cell r="F21">
            <v>1058400</v>
          </cell>
          <cell r="G21">
            <v>1</v>
          </cell>
          <cell r="H21">
            <v>1763000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6</v>
          </cell>
          <cell r="P21">
            <v>4222300</v>
          </cell>
        </row>
        <row r="22">
          <cell r="C22">
            <v>5</v>
          </cell>
          <cell r="D22">
            <v>1492300</v>
          </cell>
          <cell r="E22">
            <v>1</v>
          </cell>
          <cell r="F22">
            <v>867200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</v>
          </cell>
          <cell r="P22">
            <v>2359500</v>
          </cell>
        </row>
        <row r="23">
          <cell r="C23">
            <v>12</v>
          </cell>
          <cell r="D23">
            <v>3677000</v>
          </cell>
          <cell r="E23">
            <v>3</v>
          </cell>
          <cell r="F23">
            <v>1925600</v>
          </cell>
          <cell r="G23">
            <v>1</v>
          </cell>
          <cell r="H23">
            <v>1763000</v>
          </cell>
          <cell r="I23">
            <v>1</v>
          </cell>
          <cell r="J23">
            <v>85800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17</v>
          </cell>
          <cell r="P23">
            <v>7451400</v>
          </cell>
        </row>
      </sheetData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ing Statistics 2010"/>
      <sheetName val="Building Statistics 2011"/>
      <sheetName val="Building Statistics 2012"/>
      <sheetName val="Building Statistics 2013"/>
      <sheetName val="Building Statistics 2014"/>
      <sheetName val="Building Statistics 2015"/>
      <sheetName val="Building Statistics 2016"/>
      <sheetName val="Building Statistics 2017"/>
      <sheetName val="Building Statistics 2018"/>
      <sheetName val="Building Statistics 2019"/>
      <sheetName val="Statistical Data"/>
      <sheetName val="Statistical Data Up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2">
          <cell r="C32">
            <v>10</v>
          </cell>
          <cell r="D32">
            <v>2844900</v>
          </cell>
          <cell r="E32">
            <v>2</v>
          </cell>
          <cell r="F32">
            <v>927800</v>
          </cell>
          <cell r="G32">
            <v>0</v>
          </cell>
          <cell r="H32">
            <v>0</v>
          </cell>
          <cell r="I32">
            <v>1</v>
          </cell>
          <cell r="J32">
            <v>34200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13</v>
          </cell>
          <cell r="P32">
            <v>3806900</v>
          </cell>
        </row>
        <row r="33">
          <cell r="C33">
            <v>7</v>
          </cell>
          <cell r="D33">
            <v>2345100</v>
          </cell>
          <cell r="E33">
            <v>2</v>
          </cell>
          <cell r="F33">
            <v>1632100</v>
          </cell>
          <cell r="G33">
            <v>0</v>
          </cell>
          <cell r="H33">
            <v>0</v>
          </cell>
          <cell r="I33">
            <v>1</v>
          </cell>
          <cell r="J33">
            <v>239300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10</v>
          </cell>
          <cell r="P33">
            <v>4216500</v>
          </cell>
        </row>
        <row r="34">
          <cell r="C34">
            <v>8</v>
          </cell>
          <cell r="D34">
            <v>2345100</v>
          </cell>
          <cell r="E34">
            <v>2</v>
          </cell>
          <cell r="F34">
            <v>141700</v>
          </cell>
          <cell r="G34">
            <v>0</v>
          </cell>
          <cell r="H34">
            <v>0</v>
          </cell>
          <cell r="I34">
            <v>3</v>
          </cell>
          <cell r="J34">
            <v>651400</v>
          </cell>
          <cell r="K34">
            <v>0</v>
          </cell>
          <cell r="L34">
            <v>0</v>
          </cell>
          <cell r="M34">
            <v>2</v>
          </cell>
          <cell r="N34">
            <v>9765000</v>
          </cell>
          <cell r="O34">
            <v>15</v>
          </cell>
          <cell r="P34">
            <v>12903200</v>
          </cell>
        </row>
        <row r="36">
          <cell r="C36">
            <v>6</v>
          </cell>
          <cell r="D36">
            <v>1749500</v>
          </cell>
          <cell r="E36">
            <v>3</v>
          </cell>
          <cell r="F36">
            <v>379500</v>
          </cell>
          <cell r="G36">
            <v>0</v>
          </cell>
          <cell r="H36">
            <v>0</v>
          </cell>
          <cell r="I36">
            <v>1</v>
          </cell>
          <cell r="J36">
            <v>37500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10</v>
          </cell>
          <cell r="P36">
            <v>2166500</v>
          </cell>
        </row>
        <row r="37">
          <cell r="C37">
            <v>3</v>
          </cell>
          <cell r="D37">
            <v>2108800</v>
          </cell>
          <cell r="E37">
            <v>4</v>
          </cell>
          <cell r="F37">
            <v>1658500</v>
          </cell>
          <cell r="G37">
            <v>0</v>
          </cell>
          <cell r="H37">
            <v>0</v>
          </cell>
          <cell r="I37">
            <v>0</v>
          </cell>
          <cell r="J37">
            <v>70000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</v>
          </cell>
          <cell r="P37">
            <v>3837300</v>
          </cell>
        </row>
        <row r="38">
          <cell r="C38">
            <v>6</v>
          </cell>
          <cell r="D38">
            <v>1415100</v>
          </cell>
          <cell r="E38">
            <v>3</v>
          </cell>
          <cell r="F38">
            <v>1004500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</v>
          </cell>
          <cell r="N38">
            <v>1259800</v>
          </cell>
          <cell r="O38">
            <v>11</v>
          </cell>
          <cell r="P38">
            <v>3679400</v>
          </cell>
        </row>
        <row r="40">
          <cell r="C40">
            <v>6</v>
          </cell>
          <cell r="D40">
            <v>2088200</v>
          </cell>
          <cell r="E40">
            <v>3</v>
          </cell>
          <cell r="F40">
            <v>1588100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60900</v>
          </cell>
          <cell r="O40">
            <v>10</v>
          </cell>
          <cell r="P40">
            <v>3737200</v>
          </cell>
        </row>
        <row r="41">
          <cell r="C41">
            <v>8</v>
          </cell>
          <cell r="D41">
            <v>1327700</v>
          </cell>
          <cell r="E41">
            <v>2</v>
          </cell>
          <cell r="F41">
            <v>1167600</v>
          </cell>
          <cell r="G41">
            <v>2</v>
          </cell>
          <cell r="H41">
            <v>4362500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</v>
          </cell>
          <cell r="N41">
            <v>2551600</v>
          </cell>
          <cell r="O41">
            <v>13</v>
          </cell>
          <cell r="P41">
            <v>9409400</v>
          </cell>
        </row>
        <row r="42">
          <cell r="C42">
            <v>5</v>
          </cell>
          <cell r="D42">
            <v>1485900</v>
          </cell>
          <cell r="E42">
            <v>1</v>
          </cell>
          <cell r="F42">
            <v>217800</v>
          </cell>
          <cell r="G42">
            <v>1</v>
          </cell>
          <cell r="H42">
            <v>1249500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</v>
          </cell>
          <cell r="P42">
            <v>2953200</v>
          </cell>
        </row>
        <row r="44">
          <cell r="C44">
            <v>5</v>
          </cell>
          <cell r="D44">
            <v>756200</v>
          </cell>
          <cell r="E44">
            <v>2</v>
          </cell>
          <cell r="F44">
            <v>823700</v>
          </cell>
          <cell r="G44">
            <v>0</v>
          </cell>
          <cell r="H44">
            <v>0</v>
          </cell>
          <cell r="I44">
            <v>2</v>
          </cell>
          <cell r="J44">
            <v>1020400</v>
          </cell>
          <cell r="K44">
            <v>0</v>
          </cell>
          <cell r="L44">
            <v>0</v>
          </cell>
          <cell r="M44">
            <v>2</v>
          </cell>
          <cell r="N44">
            <v>381400</v>
          </cell>
          <cell r="O44">
            <v>11</v>
          </cell>
          <cell r="P44">
            <v>2981700</v>
          </cell>
        </row>
        <row r="45">
          <cell r="C45">
            <v>2</v>
          </cell>
          <cell r="D45">
            <v>756200</v>
          </cell>
          <cell r="E45">
            <v>2</v>
          </cell>
          <cell r="F45">
            <v>1179400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2</v>
          </cell>
          <cell r="L45">
            <v>1594900</v>
          </cell>
          <cell r="M45">
            <v>0</v>
          </cell>
          <cell r="N45">
            <v>90500</v>
          </cell>
          <cell r="O45">
            <v>6</v>
          </cell>
          <cell r="P45">
            <v>3621000</v>
          </cell>
        </row>
        <row r="46">
          <cell r="C46">
            <v>4</v>
          </cell>
          <cell r="D46">
            <v>909500</v>
          </cell>
          <cell r="E46">
            <v>5</v>
          </cell>
          <cell r="F46">
            <v>1179400</v>
          </cell>
          <cell r="G46">
            <v>1</v>
          </cell>
          <cell r="H46">
            <v>2353600</v>
          </cell>
          <cell r="I46">
            <v>2</v>
          </cell>
          <cell r="J46">
            <v>387800</v>
          </cell>
          <cell r="K46">
            <v>1</v>
          </cell>
          <cell r="L46">
            <v>315200</v>
          </cell>
          <cell r="M46">
            <v>0</v>
          </cell>
          <cell r="N46">
            <v>0</v>
          </cell>
          <cell r="O46">
            <v>13</v>
          </cell>
          <cell r="P46">
            <v>5145500</v>
          </cell>
        </row>
        <row r="47">
          <cell r="P47">
            <v>11748200</v>
          </cell>
        </row>
      </sheetData>
      <sheetData sheetId="11">
        <row r="8">
          <cell r="C8">
            <v>11</v>
          </cell>
          <cell r="D8">
            <v>2662200</v>
          </cell>
          <cell r="E8">
            <v>2</v>
          </cell>
          <cell r="F8">
            <v>749100</v>
          </cell>
          <cell r="G8">
            <v>1</v>
          </cell>
          <cell r="H8">
            <v>334800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4</v>
          </cell>
          <cell r="D9">
            <v>1156000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6</v>
          </cell>
          <cell r="D10">
            <v>1390000</v>
          </cell>
          <cell r="E10">
            <v>4</v>
          </cell>
          <cell r="F10">
            <v>1756600</v>
          </cell>
          <cell r="G10">
            <v>0</v>
          </cell>
          <cell r="H10">
            <v>0</v>
          </cell>
          <cell r="I10">
            <v>1</v>
          </cell>
          <cell r="J10">
            <v>450400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2">
          <cell r="C12">
            <v>10</v>
          </cell>
          <cell r="D12">
            <v>3778300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</v>
          </cell>
          <cell r="J12">
            <v>86500</v>
          </cell>
          <cell r="K12">
            <v>1</v>
          </cell>
          <cell r="L12">
            <v>66000</v>
          </cell>
          <cell r="M12">
            <v>0</v>
          </cell>
          <cell r="N12">
            <v>0</v>
          </cell>
        </row>
        <row r="13">
          <cell r="C13">
            <v>5</v>
          </cell>
          <cell r="D13">
            <v>1186500</v>
          </cell>
          <cell r="E13">
            <v>1</v>
          </cell>
          <cell r="F13">
            <v>82000</v>
          </cell>
          <cell r="G13">
            <v>2</v>
          </cell>
          <cell r="H13">
            <v>6376400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6</v>
          </cell>
          <cell r="D14">
            <v>2110300</v>
          </cell>
          <cell r="E14">
            <v>3</v>
          </cell>
          <cell r="F14">
            <v>1587800</v>
          </cell>
          <cell r="G14">
            <v>0</v>
          </cell>
          <cell r="H14">
            <v>0</v>
          </cell>
          <cell r="I14">
            <v>1</v>
          </cell>
          <cell r="J14">
            <v>57300</v>
          </cell>
          <cell r="K14">
            <v>1</v>
          </cell>
          <cell r="L14">
            <v>263700</v>
          </cell>
          <cell r="M14">
            <v>0</v>
          </cell>
          <cell r="N14">
            <v>0</v>
          </cell>
        </row>
        <row r="16">
          <cell r="C16">
            <v>9</v>
          </cell>
          <cell r="D16">
            <v>3354600</v>
          </cell>
          <cell r="E16">
            <v>1</v>
          </cell>
          <cell r="F16">
            <v>570700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5</v>
          </cell>
          <cell r="D17">
            <v>1731800</v>
          </cell>
          <cell r="E17">
            <v>1</v>
          </cell>
          <cell r="F17">
            <v>239000</v>
          </cell>
          <cell r="G17">
            <v>0</v>
          </cell>
          <cell r="H17">
            <v>0</v>
          </cell>
          <cell r="I17">
            <v>1</v>
          </cell>
          <cell r="J17">
            <v>28800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3</v>
          </cell>
          <cell r="D18">
            <v>1858500</v>
          </cell>
          <cell r="E18">
            <v>2</v>
          </cell>
          <cell r="F18">
            <v>969300</v>
          </cell>
          <cell r="G18">
            <v>0</v>
          </cell>
          <cell r="H18">
            <v>0</v>
          </cell>
          <cell r="I18">
            <v>2</v>
          </cell>
          <cell r="J18">
            <v>534600</v>
          </cell>
          <cell r="K18">
            <v>1</v>
          </cell>
          <cell r="L18">
            <v>40800</v>
          </cell>
          <cell r="M18">
            <v>0</v>
          </cell>
          <cell r="N18">
            <v>0</v>
          </cell>
        </row>
        <row r="20">
          <cell r="C20">
            <v>5</v>
          </cell>
          <cell r="D20">
            <v>717500</v>
          </cell>
          <cell r="E20">
            <v>0</v>
          </cell>
          <cell r="F20">
            <v>0</v>
          </cell>
          <cell r="G20">
            <v>1</v>
          </cell>
          <cell r="H20">
            <v>371700</v>
          </cell>
          <cell r="I20">
            <v>1</v>
          </cell>
          <cell r="J20">
            <v>833600</v>
          </cell>
          <cell r="K20">
            <v>0</v>
          </cell>
          <cell r="L20">
            <v>0</v>
          </cell>
          <cell r="M20">
            <v>1</v>
          </cell>
          <cell r="N20">
            <v>801800</v>
          </cell>
        </row>
        <row r="21">
          <cell r="C21">
            <v>2</v>
          </cell>
          <cell r="D21">
            <v>341500</v>
          </cell>
          <cell r="E21">
            <v>7</v>
          </cell>
          <cell r="F21">
            <v>2978200</v>
          </cell>
          <cell r="G21">
            <v>0</v>
          </cell>
          <cell r="H21">
            <v>0</v>
          </cell>
          <cell r="I21">
            <v>1</v>
          </cell>
          <cell r="J21">
            <v>224000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7</v>
          </cell>
          <cell r="D22">
            <v>2270800</v>
          </cell>
          <cell r="E22">
            <v>4</v>
          </cell>
          <cell r="F22">
            <v>1512800</v>
          </cell>
          <cell r="G22">
            <v>2</v>
          </cell>
          <cell r="H22">
            <v>4193000</v>
          </cell>
          <cell r="I22">
            <v>1</v>
          </cell>
          <cell r="J22">
            <v>737000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30">
          <cell r="C30">
            <v>6</v>
          </cell>
          <cell r="D30">
            <v>1299400</v>
          </cell>
          <cell r="E30">
            <v>4</v>
          </cell>
          <cell r="F30">
            <v>1579500</v>
          </cell>
          <cell r="G30">
            <v>1</v>
          </cell>
          <cell r="H30">
            <v>2071800</v>
          </cell>
          <cell r="I30">
            <v>3</v>
          </cell>
          <cell r="J30">
            <v>320200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14</v>
          </cell>
        </row>
        <row r="31">
          <cell r="C31">
            <v>10</v>
          </cell>
          <cell r="D31">
            <v>1840900</v>
          </cell>
          <cell r="E31">
            <v>1</v>
          </cell>
          <cell r="F31">
            <v>213300</v>
          </cell>
          <cell r="G31">
            <v>0</v>
          </cell>
          <cell r="H31">
            <v>0</v>
          </cell>
          <cell r="I31">
            <v>1</v>
          </cell>
          <cell r="J31">
            <v>72000</v>
          </cell>
          <cell r="K31">
            <v>0</v>
          </cell>
          <cell r="L31">
            <v>0</v>
          </cell>
          <cell r="M31">
            <v>1</v>
          </cell>
          <cell r="N31">
            <v>1987300</v>
          </cell>
          <cell r="O31">
            <v>13</v>
          </cell>
        </row>
        <row r="32">
          <cell r="C32">
            <v>4</v>
          </cell>
          <cell r="D32">
            <v>602300</v>
          </cell>
          <cell r="E32">
            <v>1</v>
          </cell>
          <cell r="F32">
            <v>253000</v>
          </cell>
          <cell r="G32">
            <v>1</v>
          </cell>
          <cell r="H32">
            <v>524000</v>
          </cell>
          <cell r="I32">
            <v>3</v>
          </cell>
          <cell r="J32">
            <v>1098700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10</v>
          </cell>
        </row>
        <row r="34">
          <cell r="C34">
            <v>10</v>
          </cell>
          <cell r="D34">
            <v>2373200</v>
          </cell>
          <cell r="E34">
            <v>2</v>
          </cell>
          <cell r="F34">
            <v>548600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9</v>
          </cell>
          <cell r="D35">
            <v>1664500</v>
          </cell>
          <cell r="E35">
            <v>1</v>
          </cell>
          <cell r="F35">
            <v>240300</v>
          </cell>
          <cell r="G35">
            <v>3</v>
          </cell>
          <cell r="H35">
            <v>4840100</v>
          </cell>
          <cell r="I35">
            <v>1</v>
          </cell>
          <cell r="J35">
            <v>40800</v>
          </cell>
          <cell r="K35">
            <v>1</v>
          </cell>
          <cell r="L35">
            <v>202300</v>
          </cell>
          <cell r="M35">
            <v>0</v>
          </cell>
          <cell r="N35">
            <v>0</v>
          </cell>
        </row>
        <row r="36">
          <cell r="C36">
            <v>3</v>
          </cell>
          <cell r="D36">
            <v>712000</v>
          </cell>
          <cell r="E36">
            <v>3</v>
          </cell>
          <cell r="F36">
            <v>675900</v>
          </cell>
          <cell r="G36">
            <v>1</v>
          </cell>
          <cell r="H36">
            <v>1211100</v>
          </cell>
          <cell r="I36">
            <v>0</v>
          </cell>
          <cell r="J36">
            <v>0</v>
          </cell>
          <cell r="K36">
            <v>1</v>
          </cell>
          <cell r="L36">
            <v>1905000</v>
          </cell>
          <cell r="M36">
            <v>0</v>
          </cell>
          <cell r="N36">
            <v>0</v>
          </cell>
        </row>
        <row r="38">
          <cell r="C38">
            <v>5</v>
          </cell>
          <cell r="D38">
            <v>878300</v>
          </cell>
          <cell r="E38">
            <v>0</v>
          </cell>
          <cell r="F38">
            <v>0</v>
          </cell>
          <cell r="G38">
            <v>1</v>
          </cell>
          <cell r="H38">
            <v>70000</v>
          </cell>
          <cell r="I38">
            <v>3</v>
          </cell>
          <cell r="J38">
            <v>2451700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2</v>
          </cell>
          <cell r="D39">
            <v>362500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</v>
          </cell>
          <cell r="J39">
            <v>400400</v>
          </cell>
          <cell r="K39">
            <v>0</v>
          </cell>
          <cell r="L39">
            <v>0</v>
          </cell>
          <cell r="M39">
            <v>1</v>
          </cell>
          <cell r="N39">
            <v>0</v>
          </cell>
        </row>
        <row r="40">
          <cell r="C40">
            <v>2</v>
          </cell>
          <cell r="D40">
            <v>179400</v>
          </cell>
          <cell r="E40">
            <v>1</v>
          </cell>
          <cell r="F40">
            <v>438800</v>
          </cell>
          <cell r="G40">
            <v>1</v>
          </cell>
          <cell r="H40">
            <v>2737400</v>
          </cell>
          <cell r="I40">
            <v>5</v>
          </cell>
          <cell r="J40">
            <v>3307800</v>
          </cell>
          <cell r="K40">
            <v>0</v>
          </cell>
          <cell r="L40">
            <v>0</v>
          </cell>
          <cell r="M40">
            <v>2</v>
          </cell>
          <cell r="N40">
            <v>16800</v>
          </cell>
        </row>
        <row r="42">
          <cell r="C42">
            <v>10</v>
          </cell>
          <cell r="D42">
            <v>3940300</v>
          </cell>
          <cell r="E42">
            <v>2</v>
          </cell>
          <cell r="F42">
            <v>434700</v>
          </cell>
          <cell r="G42">
            <v>0</v>
          </cell>
          <cell r="H42">
            <v>0</v>
          </cell>
          <cell r="I42">
            <v>2</v>
          </cell>
          <cell r="J42">
            <v>47700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2</v>
          </cell>
          <cell r="D43">
            <v>1113800</v>
          </cell>
          <cell r="E43">
            <v>1</v>
          </cell>
          <cell r="F43">
            <v>118300</v>
          </cell>
          <cell r="G43">
            <v>1</v>
          </cell>
          <cell r="H43">
            <v>7119100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9</v>
          </cell>
          <cell r="D44">
            <v>1554900</v>
          </cell>
          <cell r="E44">
            <v>1</v>
          </cell>
          <cell r="F44">
            <v>310900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ing Statistics 2010"/>
      <sheetName val="Building Statistics 2011"/>
      <sheetName val="Building Statistics 2013"/>
      <sheetName val="Building Statistics 2014"/>
      <sheetName val="Statistical Data"/>
    </sheetNames>
    <sheetDataSet>
      <sheetData sheetId="0"/>
      <sheetData sheetId="1"/>
      <sheetData sheetId="2"/>
      <sheetData sheetId="3"/>
      <sheetData sheetId="4">
        <row r="8">
          <cell r="D8">
            <v>1299400</v>
          </cell>
        </row>
        <row r="12">
          <cell r="O12">
            <v>12</v>
          </cell>
        </row>
        <row r="13">
          <cell r="O13">
            <v>15</v>
          </cell>
        </row>
        <row r="14">
          <cell r="O14">
            <v>8</v>
          </cell>
        </row>
        <row r="16">
          <cell r="O16">
            <v>9</v>
          </cell>
        </row>
        <row r="17">
          <cell r="O17">
            <v>4</v>
          </cell>
        </row>
        <row r="18">
          <cell r="O18">
            <v>11</v>
          </cell>
        </row>
        <row r="20">
          <cell r="O20">
            <v>14</v>
          </cell>
        </row>
        <row r="21">
          <cell r="O21">
            <v>4</v>
          </cell>
        </row>
        <row r="22">
          <cell r="O22">
            <v>10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ing Statistics 2010"/>
      <sheetName val="Building Statistics 2011"/>
      <sheetName val="Building Statistics 2012"/>
      <sheetName val="Building Statistics 2013"/>
      <sheetName val="Building Statistics 2014"/>
      <sheetName val="Building Statistics 2015"/>
      <sheetName val="Statistica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C8">
            <v>11</v>
          </cell>
          <cell r="O8">
            <v>14</v>
          </cell>
          <cell r="P8">
            <v>3746100</v>
          </cell>
        </row>
        <row r="9">
          <cell r="O9">
            <v>4</v>
          </cell>
          <cell r="P9">
            <v>1156000</v>
          </cell>
        </row>
        <row r="10">
          <cell r="O10">
            <v>11</v>
          </cell>
          <cell r="P10">
            <v>3597000</v>
          </cell>
        </row>
        <row r="12">
          <cell r="O12">
            <v>12</v>
          </cell>
          <cell r="P12">
            <v>3930800</v>
          </cell>
        </row>
        <row r="13">
          <cell r="O13">
            <v>8</v>
          </cell>
          <cell r="P13">
            <v>7644900</v>
          </cell>
        </row>
        <row r="14">
          <cell r="O14">
            <v>11</v>
          </cell>
          <cell r="P14">
            <v>4019100</v>
          </cell>
        </row>
        <row r="16">
          <cell r="O16">
            <v>11</v>
          </cell>
          <cell r="P16">
            <v>3925300</v>
          </cell>
        </row>
        <row r="17">
          <cell r="O17">
            <v>7</v>
          </cell>
          <cell r="P17">
            <v>1999600</v>
          </cell>
        </row>
        <row r="18">
          <cell r="O18">
            <v>8</v>
          </cell>
          <cell r="P18">
            <v>3403200</v>
          </cell>
        </row>
        <row r="20">
          <cell r="O20">
            <v>8</v>
          </cell>
          <cell r="P20">
            <v>2724600</v>
          </cell>
        </row>
        <row r="21">
          <cell r="O21">
            <v>10</v>
          </cell>
          <cell r="P21">
            <v>3543700</v>
          </cell>
        </row>
        <row r="22">
          <cell r="O22">
            <v>14</v>
          </cell>
          <cell r="P22">
            <v>8713600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ing Statistics 2010"/>
      <sheetName val="Building Statistics 2011"/>
      <sheetName val="Building Statistics 2012"/>
      <sheetName val="Building Statistics 2013"/>
      <sheetName val="Building Statistics 2014"/>
      <sheetName val="Building Statistics 2015"/>
      <sheetName val="Building Statistics 2016"/>
      <sheetName val="Building Statistics 2017"/>
      <sheetName val="Statistical Data"/>
      <sheetName val="Statistical Data Up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8">
          <cell r="C8">
            <v>10</v>
          </cell>
          <cell r="D8">
            <v>2844900</v>
          </cell>
          <cell r="E8">
            <v>2</v>
          </cell>
          <cell r="F8">
            <v>927800</v>
          </cell>
          <cell r="G8">
            <v>0</v>
          </cell>
          <cell r="H8">
            <v>0</v>
          </cell>
          <cell r="I8">
            <v>1</v>
          </cell>
          <cell r="J8">
            <v>34200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13</v>
          </cell>
          <cell r="P8">
            <v>3806900</v>
          </cell>
        </row>
        <row r="9">
          <cell r="C9">
            <v>7</v>
          </cell>
          <cell r="D9">
            <v>2345100</v>
          </cell>
          <cell r="E9">
            <v>2</v>
          </cell>
          <cell r="F9">
            <v>1632100</v>
          </cell>
          <cell r="G9">
            <v>0</v>
          </cell>
          <cell r="H9">
            <v>0</v>
          </cell>
          <cell r="I9">
            <v>1</v>
          </cell>
          <cell r="J9">
            <v>239300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10</v>
          </cell>
          <cell r="P9">
            <v>4216500</v>
          </cell>
        </row>
        <row r="10">
          <cell r="C10">
            <v>8</v>
          </cell>
          <cell r="D10">
            <v>1607300</v>
          </cell>
          <cell r="E10">
            <v>2</v>
          </cell>
          <cell r="F10">
            <v>141700</v>
          </cell>
          <cell r="G10">
            <v>0</v>
          </cell>
          <cell r="H10">
            <v>0</v>
          </cell>
          <cell r="I10">
            <v>3</v>
          </cell>
          <cell r="J10">
            <v>651400</v>
          </cell>
          <cell r="K10">
            <v>0</v>
          </cell>
          <cell r="L10">
            <v>0</v>
          </cell>
          <cell r="M10">
            <v>2</v>
          </cell>
          <cell r="N10">
            <v>9765000</v>
          </cell>
          <cell r="O10">
            <v>15</v>
          </cell>
          <cell r="P10">
            <v>12165400</v>
          </cell>
        </row>
        <row r="12">
          <cell r="C12">
            <v>6</v>
          </cell>
          <cell r="D12">
            <v>1749500</v>
          </cell>
          <cell r="E12">
            <v>3</v>
          </cell>
          <cell r="F12">
            <v>379500</v>
          </cell>
          <cell r="G12">
            <v>0</v>
          </cell>
          <cell r="H12">
            <v>0</v>
          </cell>
          <cell r="I12">
            <v>1</v>
          </cell>
          <cell r="J12">
            <v>37500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10</v>
          </cell>
          <cell r="P12">
            <v>2166500</v>
          </cell>
        </row>
        <row r="13">
          <cell r="C13">
            <v>3</v>
          </cell>
          <cell r="D13">
            <v>2108800</v>
          </cell>
          <cell r="E13">
            <v>4</v>
          </cell>
          <cell r="F13">
            <v>1658500</v>
          </cell>
          <cell r="G13">
            <v>0</v>
          </cell>
          <cell r="H13">
            <v>0</v>
          </cell>
          <cell r="I13">
            <v>1</v>
          </cell>
          <cell r="J13">
            <v>70000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8</v>
          </cell>
          <cell r="P13">
            <v>3837300</v>
          </cell>
        </row>
        <row r="14">
          <cell r="C14">
            <v>6</v>
          </cell>
          <cell r="D14">
            <v>1415100</v>
          </cell>
          <cell r="E14">
            <v>3</v>
          </cell>
          <cell r="F14">
            <v>1004500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2</v>
          </cell>
          <cell r="N14">
            <v>1259800</v>
          </cell>
          <cell r="O14">
            <v>11</v>
          </cell>
          <cell r="P14">
            <v>3679400</v>
          </cell>
        </row>
        <row r="16">
          <cell r="C16">
            <v>6</v>
          </cell>
          <cell r="D16">
            <v>2088200</v>
          </cell>
          <cell r="E16">
            <v>5</v>
          </cell>
          <cell r="F16">
            <v>1588100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60900</v>
          </cell>
          <cell r="O16">
            <v>12</v>
          </cell>
          <cell r="P16">
            <v>3737200</v>
          </cell>
        </row>
        <row r="17">
          <cell r="C17">
            <v>8</v>
          </cell>
          <cell r="D17">
            <v>2131500</v>
          </cell>
          <cell r="E17">
            <v>2</v>
          </cell>
          <cell r="F17">
            <v>1167600</v>
          </cell>
          <cell r="G17">
            <v>2</v>
          </cell>
          <cell r="H17">
            <v>4362500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2551600</v>
          </cell>
          <cell r="O17">
            <v>13</v>
          </cell>
          <cell r="P17">
            <v>10213200</v>
          </cell>
        </row>
        <row r="18">
          <cell r="C18">
            <v>5</v>
          </cell>
          <cell r="D18">
            <v>1327700</v>
          </cell>
          <cell r="E18">
            <v>1</v>
          </cell>
          <cell r="F18">
            <v>217800</v>
          </cell>
          <cell r="G18">
            <v>1</v>
          </cell>
          <cell r="H18">
            <v>1249500</v>
          </cell>
          <cell r="I18">
            <v>1</v>
          </cell>
          <cell r="J18">
            <v>5432000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8227000</v>
          </cell>
        </row>
        <row r="20">
          <cell r="C20">
            <v>5</v>
          </cell>
          <cell r="D20">
            <v>1485900</v>
          </cell>
          <cell r="E20">
            <v>2</v>
          </cell>
          <cell r="F20">
            <v>823700</v>
          </cell>
          <cell r="G20">
            <v>0</v>
          </cell>
          <cell r="H20">
            <v>0</v>
          </cell>
          <cell r="I20">
            <v>2</v>
          </cell>
          <cell r="J20">
            <v>1020400</v>
          </cell>
          <cell r="K20">
            <v>0</v>
          </cell>
          <cell r="L20">
            <v>0</v>
          </cell>
          <cell r="M20">
            <v>2</v>
          </cell>
          <cell r="N20">
            <v>381400</v>
          </cell>
          <cell r="O20">
            <v>11</v>
          </cell>
          <cell r="P20">
            <v>3711400</v>
          </cell>
        </row>
        <row r="21">
          <cell r="C21">
            <v>2</v>
          </cell>
          <cell r="D21">
            <v>756200</v>
          </cell>
          <cell r="E21">
            <v>2</v>
          </cell>
          <cell r="F21">
            <v>1199200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</v>
          </cell>
          <cell r="L21">
            <v>1594900</v>
          </cell>
          <cell r="M21">
            <v>1</v>
          </cell>
          <cell r="N21">
            <v>90500</v>
          </cell>
          <cell r="O21">
            <v>7</v>
          </cell>
          <cell r="P21">
            <v>3640800</v>
          </cell>
        </row>
        <row r="22">
          <cell r="C22">
            <v>5</v>
          </cell>
          <cell r="D22">
            <v>989500</v>
          </cell>
          <cell r="E22">
            <v>5</v>
          </cell>
          <cell r="F22">
            <v>1179400</v>
          </cell>
          <cell r="G22">
            <v>1</v>
          </cell>
          <cell r="H22">
            <v>2353600</v>
          </cell>
          <cell r="I22">
            <v>2</v>
          </cell>
          <cell r="J22">
            <v>387800</v>
          </cell>
          <cell r="K22">
            <v>1</v>
          </cell>
          <cell r="L22">
            <v>315200</v>
          </cell>
          <cell r="M22">
            <v>0</v>
          </cell>
          <cell r="N22">
            <v>0</v>
          </cell>
          <cell r="O22">
            <v>14</v>
          </cell>
          <cell r="P22">
            <v>5225500</v>
          </cell>
        </row>
      </sheetData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s"/>
      <sheetName val="Certificates Issued"/>
      <sheetName val="Sum Stats 2009"/>
    </sheetNames>
    <sheetDataSet>
      <sheetData sheetId="0"/>
      <sheetData sheetId="1"/>
      <sheetData sheetId="2">
        <row r="4">
          <cell r="C4">
            <v>318</v>
          </cell>
        </row>
        <row r="5">
          <cell r="C5">
            <v>18</v>
          </cell>
        </row>
        <row r="6">
          <cell r="C6">
            <v>101</v>
          </cell>
        </row>
        <row r="7">
          <cell r="C7">
            <v>62</v>
          </cell>
        </row>
        <row r="8">
          <cell r="C8">
            <v>2</v>
          </cell>
        </row>
        <row r="9">
          <cell r="C9">
            <v>125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s"/>
      <sheetName val="Certificates Issued"/>
      <sheetName val="Sum Stats 2010"/>
      <sheetName val="Sheet2"/>
      <sheetName val="Sheet3"/>
    </sheetNames>
    <sheetDataSet>
      <sheetData sheetId="0"/>
      <sheetData sheetId="1"/>
      <sheetData sheetId="2">
        <row r="3">
          <cell r="O3">
            <v>208</v>
          </cell>
        </row>
        <row r="4">
          <cell r="O4">
            <v>33</v>
          </cell>
        </row>
        <row r="5">
          <cell r="O5">
            <v>39</v>
          </cell>
        </row>
        <row r="6">
          <cell r="O6">
            <v>50</v>
          </cell>
        </row>
        <row r="7">
          <cell r="O7">
            <v>10</v>
          </cell>
        </row>
        <row r="8">
          <cell r="O8">
            <v>51</v>
          </cell>
        </row>
        <row r="18">
          <cell r="O18">
            <v>281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atistical Report Sheet"/>
      <sheetName val="Statisitcal Data"/>
      <sheetName val="Building Section Report Sheet"/>
    </sheetNames>
    <sheetDataSet>
      <sheetData sheetId="0" refreshError="1"/>
      <sheetData sheetId="1"/>
      <sheetData sheetId="2">
        <row r="7">
          <cell r="C7">
            <v>18</v>
          </cell>
          <cell r="D7">
            <v>8957729.284</v>
          </cell>
          <cell r="E7">
            <v>1</v>
          </cell>
          <cell r="F7">
            <v>426977.6</v>
          </cell>
          <cell r="G7">
            <v>0</v>
          </cell>
          <cell r="H7">
            <v>0</v>
          </cell>
          <cell r="I7">
            <v>3</v>
          </cell>
          <cell r="J7">
            <v>1839479.9079999998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13</v>
          </cell>
          <cell r="D8">
            <v>4032994.784</v>
          </cell>
          <cell r="E8">
            <v>1</v>
          </cell>
          <cell r="F8">
            <v>323923.29200000002</v>
          </cell>
          <cell r="G8">
            <v>0</v>
          </cell>
          <cell r="H8">
            <v>0</v>
          </cell>
          <cell r="I8">
            <v>1</v>
          </cell>
          <cell r="J8">
            <v>210393.4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13</v>
          </cell>
          <cell r="D9">
            <v>8235497.4239999996</v>
          </cell>
          <cell r="E9">
            <v>2</v>
          </cell>
          <cell r="F9">
            <v>1588784.4</v>
          </cell>
          <cell r="G9">
            <v>1</v>
          </cell>
          <cell r="H9">
            <v>4996726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1</v>
          </cell>
          <cell r="N9">
            <v>66035.199999999997</v>
          </cell>
        </row>
        <row r="11">
          <cell r="C11">
            <v>19</v>
          </cell>
          <cell r="D11">
            <v>8477638.3719999995</v>
          </cell>
          <cell r="E11">
            <v>3</v>
          </cell>
          <cell r="F11">
            <v>1894446.7079999999</v>
          </cell>
          <cell r="G11">
            <v>1</v>
          </cell>
          <cell r="H11">
            <v>41541768.799999997</v>
          </cell>
          <cell r="I11">
            <v>2</v>
          </cell>
          <cell r="J11">
            <v>472875.81599999999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24</v>
          </cell>
          <cell r="D12">
            <v>12509378.112</v>
          </cell>
          <cell r="E12">
            <v>3</v>
          </cell>
          <cell r="F12">
            <v>2338358.96</v>
          </cell>
          <cell r="G12">
            <v>0</v>
          </cell>
          <cell r="H12">
            <v>0</v>
          </cell>
          <cell r="I12">
            <v>1</v>
          </cell>
          <cell r="J12">
            <v>163358.32799999998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15</v>
          </cell>
          <cell r="D13">
            <v>7838729.0520000011</v>
          </cell>
          <cell r="E13">
            <v>2</v>
          </cell>
          <cell r="F13">
            <v>1389678.892</v>
          </cell>
          <cell r="G13">
            <v>0</v>
          </cell>
          <cell r="H13">
            <v>0</v>
          </cell>
          <cell r="I13">
            <v>2</v>
          </cell>
          <cell r="J13">
            <v>926430.70799999987</v>
          </cell>
          <cell r="K13">
            <v>0</v>
          </cell>
          <cell r="L13">
            <v>0</v>
          </cell>
          <cell r="M13">
            <v>1</v>
          </cell>
          <cell r="N13">
            <v>600320</v>
          </cell>
        </row>
        <row r="15">
          <cell r="C15">
            <v>12</v>
          </cell>
          <cell r="D15">
            <v>5468740.7319999998</v>
          </cell>
          <cell r="E15">
            <v>2</v>
          </cell>
          <cell r="F15">
            <v>1055094.2919999999</v>
          </cell>
          <cell r="G15">
            <v>0</v>
          </cell>
          <cell r="H15">
            <v>0</v>
          </cell>
          <cell r="I15">
            <v>2</v>
          </cell>
          <cell r="J15">
            <v>3209423.28</v>
          </cell>
          <cell r="K15">
            <v>0</v>
          </cell>
          <cell r="L15">
            <v>0</v>
          </cell>
          <cell r="M15">
            <v>1</v>
          </cell>
          <cell r="N15">
            <v>200356.8</v>
          </cell>
        </row>
        <row r="16">
          <cell r="C16">
            <v>6</v>
          </cell>
          <cell r="D16">
            <v>3461636.4720000001</v>
          </cell>
          <cell r="E16">
            <v>0</v>
          </cell>
          <cell r="F16">
            <v>0</v>
          </cell>
          <cell r="G16">
            <v>1</v>
          </cell>
          <cell r="H16">
            <v>3397295.3</v>
          </cell>
          <cell r="I16">
            <v>3</v>
          </cell>
          <cell r="J16">
            <v>1302009.6599999999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14</v>
          </cell>
          <cell r="D17">
            <v>7293417.1239999998</v>
          </cell>
          <cell r="E17">
            <v>4</v>
          </cell>
          <cell r="F17">
            <v>3178216.02</v>
          </cell>
          <cell r="G17">
            <v>0</v>
          </cell>
          <cell r="H17">
            <v>0</v>
          </cell>
          <cell r="I17">
            <v>4</v>
          </cell>
          <cell r="J17">
            <v>4897464.9639999997</v>
          </cell>
          <cell r="K17">
            <v>0</v>
          </cell>
          <cell r="L17">
            <v>0</v>
          </cell>
          <cell r="M17">
            <v>1</v>
          </cell>
          <cell r="N17">
            <v>94925.599999999991</v>
          </cell>
        </row>
        <row r="19">
          <cell r="C19">
            <v>14</v>
          </cell>
          <cell r="D19">
            <v>8576323.4759999998</v>
          </cell>
          <cell r="E19">
            <v>1</v>
          </cell>
          <cell r="F19">
            <v>378952</v>
          </cell>
          <cell r="G19">
            <v>0</v>
          </cell>
          <cell r="H19">
            <v>0</v>
          </cell>
          <cell r="I19">
            <v>4</v>
          </cell>
          <cell r="J19">
            <v>1401039.9479999999</v>
          </cell>
          <cell r="K19">
            <v>1</v>
          </cell>
          <cell r="L19">
            <v>10094442.708000001</v>
          </cell>
          <cell r="M19">
            <v>0</v>
          </cell>
          <cell r="N19">
            <v>0</v>
          </cell>
        </row>
        <row r="20">
          <cell r="C20">
            <v>9</v>
          </cell>
          <cell r="D20">
            <v>3713722.0959999999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13</v>
          </cell>
          <cell r="D21">
            <v>6459476.9680000003</v>
          </cell>
          <cell r="E21">
            <v>1</v>
          </cell>
          <cell r="F21">
            <v>443861.6</v>
          </cell>
          <cell r="G21">
            <v>0</v>
          </cell>
          <cell r="H21">
            <v>0</v>
          </cell>
          <cell r="I21">
            <v>1</v>
          </cell>
          <cell r="J21">
            <v>581573.13199999998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</sheetData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s"/>
      <sheetName val="Certificates Issued"/>
      <sheetName val="Sum Stats 2011"/>
      <sheetName val="Total Graphs"/>
      <sheetName val="Sheet3"/>
    </sheetNames>
    <sheetDataSet>
      <sheetData sheetId="0" refreshError="1"/>
      <sheetData sheetId="1" refreshError="1"/>
      <sheetData sheetId="2">
        <row r="3">
          <cell r="O3">
            <v>141</v>
          </cell>
        </row>
        <row r="4">
          <cell r="O4">
            <v>35</v>
          </cell>
        </row>
        <row r="5">
          <cell r="O5">
            <v>49</v>
          </cell>
        </row>
        <row r="6">
          <cell r="O6">
            <v>53</v>
          </cell>
        </row>
        <row r="7">
          <cell r="O7">
            <v>14</v>
          </cell>
        </row>
        <row r="8">
          <cell r="O8">
            <v>70</v>
          </cell>
        </row>
        <row r="18">
          <cell r="O18">
            <v>287</v>
          </cell>
        </row>
      </sheetData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tation of Cement"/>
      <sheetName val="Cement Imports"/>
      <sheetName val="Cement Block by Month"/>
      <sheetName val="Cement Block Imports"/>
      <sheetName val="Cement imports by month"/>
      <sheetName val="Cement Blocks imports by month"/>
    </sheetNames>
    <sheetDataSet>
      <sheetData sheetId="0"/>
      <sheetData sheetId="1"/>
      <sheetData sheetId="2"/>
      <sheetData sheetId="3"/>
      <sheetData sheetId="4">
        <row r="6">
          <cell r="H6">
            <v>60253.94</v>
          </cell>
        </row>
        <row r="7">
          <cell r="H7">
            <v>7638.59</v>
          </cell>
        </row>
        <row r="8">
          <cell r="H8">
            <v>47688.83</v>
          </cell>
        </row>
        <row r="9">
          <cell r="H9">
            <v>39620</v>
          </cell>
        </row>
        <row r="10">
          <cell r="H10">
            <v>17986</v>
          </cell>
        </row>
      </sheetData>
      <sheetData sheetId="5">
        <row r="6">
          <cell r="H6">
            <v>10080</v>
          </cell>
        </row>
        <row r="8">
          <cell r="H8">
            <v>10650</v>
          </cell>
        </row>
        <row r="9">
          <cell r="H9">
            <v>16820</v>
          </cell>
        </row>
        <row r="10">
          <cell r="H10">
            <v>31869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tion of Cement"/>
      <sheetName val="Cement Imports"/>
      <sheetName val="Cement Block by Month"/>
      <sheetName val="Cement Block Imports"/>
      <sheetName val="Cement imports by month"/>
      <sheetName val="Cement Blocks imports by month"/>
      <sheetName val="Importatation of Cement"/>
    </sheetNames>
    <sheetDataSet>
      <sheetData sheetId="0"/>
      <sheetData sheetId="1" refreshError="1"/>
      <sheetData sheetId="2"/>
      <sheetData sheetId="3" refreshError="1"/>
      <sheetData sheetId="4" refreshError="1">
        <row r="6">
          <cell r="I6">
            <v>25640.880000000001</v>
          </cell>
        </row>
        <row r="7">
          <cell r="I7">
            <v>62711.65</v>
          </cell>
        </row>
        <row r="8">
          <cell r="I8">
            <v>62322.29</v>
          </cell>
        </row>
        <row r="9">
          <cell r="I9">
            <v>26395.29</v>
          </cell>
        </row>
        <row r="10">
          <cell r="I10">
            <v>42331</v>
          </cell>
        </row>
        <row r="11">
          <cell r="I11">
            <v>62612</v>
          </cell>
        </row>
        <row r="12">
          <cell r="I12">
            <v>38458</v>
          </cell>
        </row>
        <row r="13">
          <cell r="I13">
            <v>25726.32</v>
          </cell>
        </row>
        <row r="14">
          <cell r="I14">
            <v>21315</v>
          </cell>
        </row>
        <row r="15">
          <cell r="H15">
            <v>81916.350000000006</v>
          </cell>
          <cell r="I15">
            <v>6979.89</v>
          </cell>
        </row>
        <row r="16">
          <cell r="H16">
            <v>14033.42</v>
          </cell>
          <cell r="I16">
            <v>35120</v>
          </cell>
        </row>
        <row r="17">
          <cell r="H17">
            <v>59913.689999999995</v>
          </cell>
          <cell r="I17">
            <v>27827.08</v>
          </cell>
        </row>
      </sheetData>
      <sheetData sheetId="5" refreshError="1">
        <row r="6">
          <cell r="I6">
            <v>17250</v>
          </cell>
        </row>
        <row r="7">
          <cell r="I7">
            <v>23700</v>
          </cell>
        </row>
        <row r="8">
          <cell r="I8">
            <v>81830</v>
          </cell>
        </row>
        <row r="9">
          <cell r="I9">
            <v>21300</v>
          </cell>
        </row>
        <row r="10">
          <cell r="I10">
            <v>14676</v>
          </cell>
        </row>
        <row r="11">
          <cell r="I11">
            <v>6185</v>
          </cell>
        </row>
        <row r="12">
          <cell r="I12">
            <v>13260</v>
          </cell>
        </row>
        <row r="13">
          <cell r="I13">
            <v>9900</v>
          </cell>
        </row>
        <row r="14">
          <cell r="I14">
            <v>9000</v>
          </cell>
        </row>
        <row r="15">
          <cell r="H15">
            <v>40695</v>
          </cell>
          <cell r="I15">
            <v>8460</v>
          </cell>
        </row>
        <row r="16">
          <cell r="H16">
            <v>13695</v>
          </cell>
          <cell r="I16">
            <v>12287</v>
          </cell>
        </row>
        <row r="17">
          <cell r="H17">
            <v>17910</v>
          </cell>
          <cell r="I17">
            <v>30930</v>
          </cell>
        </row>
      </sheetData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tion of Cement"/>
      <sheetName val="Cement imports by month"/>
      <sheetName val="Cement Imports"/>
      <sheetName val="Cement Block by Month"/>
      <sheetName val="Cement Block Imports"/>
      <sheetName val="Cement Blocks imports by month"/>
    </sheetNames>
    <sheetDataSet>
      <sheetData sheetId="0" refreshError="1"/>
      <sheetData sheetId="1">
        <row r="6">
          <cell r="J6">
            <v>50693.62</v>
          </cell>
          <cell r="K6">
            <v>104965</v>
          </cell>
          <cell r="L6">
            <v>60695</v>
          </cell>
          <cell r="O6">
            <v>54600</v>
          </cell>
          <cell r="P6">
            <v>0</v>
          </cell>
          <cell r="Q6">
            <v>8500</v>
          </cell>
        </row>
        <row r="7">
          <cell r="J7">
            <v>22715</v>
          </cell>
          <cell r="K7">
            <v>79865</v>
          </cell>
          <cell r="L7">
            <v>94635</v>
          </cell>
          <cell r="N7">
            <v>10</v>
          </cell>
          <cell r="O7">
            <v>46375</v>
          </cell>
          <cell r="P7">
            <v>29155</v>
          </cell>
          <cell r="Q7">
            <v>12437</v>
          </cell>
        </row>
        <row r="8">
          <cell r="J8">
            <v>53392.880000000005</v>
          </cell>
          <cell r="K8">
            <v>58144</v>
          </cell>
          <cell r="L8">
            <v>36475</v>
          </cell>
          <cell r="N8">
            <v>46830</v>
          </cell>
          <cell r="O8">
            <v>0</v>
          </cell>
          <cell r="P8">
            <v>18285</v>
          </cell>
          <cell r="Q8">
            <v>15527</v>
          </cell>
        </row>
        <row r="9">
          <cell r="J9">
            <v>24605</v>
          </cell>
          <cell r="K9">
            <v>80215</v>
          </cell>
          <cell r="L9">
            <v>42100</v>
          </cell>
          <cell r="N9">
            <v>17500</v>
          </cell>
          <cell r="O9">
            <v>28000</v>
          </cell>
          <cell r="P9">
            <v>18407</v>
          </cell>
          <cell r="Q9">
            <v>4655</v>
          </cell>
        </row>
        <row r="10">
          <cell r="J10">
            <v>69941.149999999994</v>
          </cell>
          <cell r="K10">
            <v>58520</v>
          </cell>
          <cell r="L10">
            <v>101525</v>
          </cell>
          <cell r="N10">
            <v>32830</v>
          </cell>
          <cell r="O10">
            <v>0</v>
          </cell>
          <cell r="P10">
            <v>22830</v>
          </cell>
          <cell r="Q10">
            <v>26340</v>
          </cell>
        </row>
        <row r="11">
          <cell r="J11">
            <v>17830</v>
          </cell>
          <cell r="K11">
            <v>29366</v>
          </cell>
          <cell r="L11">
            <v>29190</v>
          </cell>
          <cell r="N11">
            <v>24633</v>
          </cell>
          <cell r="O11">
            <v>0</v>
          </cell>
          <cell r="P11">
            <v>42280</v>
          </cell>
          <cell r="Q11">
            <v>19490</v>
          </cell>
        </row>
        <row r="12">
          <cell r="J12">
            <v>21070</v>
          </cell>
          <cell r="K12">
            <v>51090</v>
          </cell>
          <cell r="L12">
            <v>159194</v>
          </cell>
          <cell r="N12">
            <v>18830</v>
          </cell>
          <cell r="O12">
            <v>31430</v>
          </cell>
          <cell r="P12">
            <v>21805</v>
          </cell>
          <cell r="Q12">
            <v>22722</v>
          </cell>
        </row>
        <row r="13">
          <cell r="J13">
            <v>75230</v>
          </cell>
          <cell r="K13">
            <v>49315</v>
          </cell>
          <cell r="L13">
            <v>108000</v>
          </cell>
          <cell r="N13">
            <v>0</v>
          </cell>
          <cell r="O13">
            <v>0</v>
          </cell>
          <cell r="P13">
            <v>59045</v>
          </cell>
          <cell r="Q13">
            <v>8209</v>
          </cell>
        </row>
        <row r="14">
          <cell r="J14">
            <v>78410</v>
          </cell>
          <cell r="K14">
            <v>83843</v>
          </cell>
          <cell r="L14">
            <v>83000</v>
          </cell>
          <cell r="N14">
            <v>10164</v>
          </cell>
          <cell r="O14">
            <v>10122</v>
          </cell>
          <cell r="P14">
            <v>9050</v>
          </cell>
          <cell r="Q14">
            <v>47835</v>
          </cell>
        </row>
        <row r="15">
          <cell r="J15">
            <v>59220</v>
          </cell>
          <cell r="K15">
            <v>76550</v>
          </cell>
          <cell r="L15">
            <v>134580</v>
          </cell>
          <cell r="N15">
            <v>875</v>
          </cell>
          <cell r="O15">
            <v>19662</v>
          </cell>
          <cell r="P15">
            <v>15890</v>
          </cell>
          <cell r="Q15">
            <v>33310</v>
          </cell>
        </row>
        <row r="16">
          <cell r="J16">
            <v>76806</v>
          </cell>
          <cell r="K16">
            <v>53328</v>
          </cell>
          <cell r="L16">
            <v>109670</v>
          </cell>
          <cell r="N16">
            <v>6125</v>
          </cell>
          <cell r="O16">
            <v>56175</v>
          </cell>
          <cell r="P16">
            <v>17395</v>
          </cell>
          <cell r="Q16">
            <v>17672</v>
          </cell>
        </row>
        <row r="17">
          <cell r="J17">
            <v>8723</v>
          </cell>
          <cell r="K17">
            <v>85404</v>
          </cell>
          <cell r="L17">
            <v>93025</v>
          </cell>
          <cell r="N17">
            <v>0</v>
          </cell>
          <cell r="O17">
            <v>10500</v>
          </cell>
          <cell r="P17">
            <v>18900</v>
          </cell>
          <cell r="Q17">
            <v>33002</v>
          </cell>
        </row>
        <row r="51">
          <cell r="C51">
            <v>804057.5</v>
          </cell>
          <cell r="D51">
            <v>13672.727272727272</v>
          </cell>
          <cell r="E51">
            <v>818125</v>
          </cell>
          <cell r="F51">
            <v>30079.999999999996</v>
          </cell>
          <cell r="G51">
            <v>1323492.5</v>
          </cell>
          <cell r="H51">
            <v>30464.545454545452</v>
          </cell>
        </row>
        <row r="52">
          <cell r="C52">
            <v>270300</v>
          </cell>
          <cell r="D52">
            <v>47854.545454545449</v>
          </cell>
          <cell r="E52">
            <v>428825</v>
          </cell>
          <cell r="F52">
            <v>47854.545454545449</v>
          </cell>
          <cell r="G52">
            <v>947495</v>
          </cell>
          <cell r="H52">
            <v>0</v>
          </cell>
        </row>
        <row r="53">
          <cell r="C53">
            <v>2283100</v>
          </cell>
          <cell r="D53">
            <v>82036.363636363632</v>
          </cell>
          <cell r="E53">
            <v>885700</v>
          </cell>
          <cell r="F53">
            <v>102545.45454545454</v>
          </cell>
          <cell r="G53">
            <v>778430</v>
          </cell>
          <cell r="H53">
            <v>21876.363636363636</v>
          </cell>
        </row>
        <row r="54">
          <cell r="C54">
            <v>2614260</v>
          </cell>
          <cell r="D54">
            <v>68363.636363636353</v>
          </cell>
          <cell r="E54">
            <v>933087.5</v>
          </cell>
          <cell r="F54">
            <v>13672.727272727272</v>
          </cell>
          <cell r="G54">
            <v>991270</v>
          </cell>
          <cell r="H54">
            <v>0</v>
          </cell>
        </row>
        <row r="55">
          <cell r="C55">
            <v>1121362.5</v>
          </cell>
          <cell r="D55">
            <v>102545.45454545454</v>
          </cell>
          <cell r="E55">
            <v>1210825</v>
          </cell>
          <cell r="F55">
            <v>82036.363636363632</v>
          </cell>
          <cell r="G55">
            <v>1275127.5</v>
          </cell>
          <cell r="H55">
            <v>0</v>
          </cell>
        </row>
        <row r="56">
          <cell r="C56">
            <v>266475</v>
          </cell>
          <cell r="D56">
            <v>54690.909090909088</v>
          </cell>
          <cell r="E56">
            <v>795812.5</v>
          </cell>
          <cell r="F56">
            <v>103912.72727272726</v>
          </cell>
          <cell r="G56">
            <v>1264162.5</v>
          </cell>
          <cell r="H56">
            <v>6836.363636363636</v>
          </cell>
        </row>
        <row r="57">
          <cell r="C57">
            <v>1394212.5</v>
          </cell>
          <cell r="D57">
            <v>91607.272727272721</v>
          </cell>
          <cell r="E57">
            <v>2112462.5</v>
          </cell>
          <cell r="F57">
            <v>142196.36363636362</v>
          </cell>
          <cell r="G57">
            <v>142375</v>
          </cell>
          <cell r="H57">
            <v>0</v>
          </cell>
        </row>
        <row r="58">
          <cell r="C58">
            <v>2289687.5</v>
          </cell>
          <cell r="D58">
            <v>91607.272727272721</v>
          </cell>
          <cell r="E58">
            <v>1130500</v>
          </cell>
          <cell r="F58">
            <v>75200</v>
          </cell>
          <cell r="G58">
            <v>1376617.5</v>
          </cell>
          <cell r="H58">
            <v>0</v>
          </cell>
        </row>
        <row r="59">
          <cell r="C59">
            <v>30260</v>
          </cell>
          <cell r="D59">
            <v>124421.81818181818</v>
          </cell>
          <cell r="E59">
            <v>1492005</v>
          </cell>
          <cell r="F59">
            <v>54690.909090909088</v>
          </cell>
          <cell r="G59">
            <v>1658477.5</v>
          </cell>
          <cell r="H59">
            <v>0</v>
          </cell>
        </row>
        <row r="60">
          <cell r="C60">
            <v>1496425</v>
          </cell>
          <cell r="D60">
            <v>42385.454545454544</v>
          </cell>
          <cell r="E60">
            <v>2011482.5</v>
          </cell>
          <cell r="F60">
            <v>10938.181818181818</v>
          </cell>
          <cell r="G60">
            <v>648635</v>
          </cell>
          <cell r="H60">
            <v>0</v>
          </cell>
        </row>
        <row r="61">
          <cell r="C61">
            <v>942522.5</v>
          </cell>
          <cell r="D61">
            <v>47854.545454545449</v>
          </cell>
          <cell r="E61">
            <v>655222.5</v>
          </cell>
          <cell r="F61">
            <v>68449.090909090897</v>
          </cell>
          <cell r="G61">
            <v>1137937.5</v>
          </cell>
          <cell r="H61">
            <v>68363.636363636353</v>
          </cell>
        </row>
        <row r="62">
          <cell r="C62">
            <v>1205087.5</v>
          </cell>
          <cell r="D62">
            <v>36916.363636363632</v>
          </cell>
          <cell r="E62">
            <v>1520735</v>
          </cell>
          <cell r="F62">
            <v>0</v>
          </cell>
          <cell r="G62">
            <v>816637.5</v>
          </cell>
          <cell r="H62">
            <v>38454.545454545449</v>
          </cell>
        </row>
      </sheetData>
      <sheetData sheetId="2" refreshError="1"/>
      <sheetData sheetId="3">
        <row r="40">
          <cell r="L40">
            <v>9180</v>
          </cell>
          <cell r="R40">
            <v>66874</v>
          </cell>
        </row>
        <row r="41">
          <cell r="R41">
            <v>70365</v>
          </cell>
        </row>
        <row r="42">
          <cell r="R42">
            <v>81255</v>
          </cell>
        </row>
        <row r="43">
          <cell r="R43">
            <v>111013</v>
          </cell>
        </row>
        <row r="44">
          <cell r="R44">
            <v>59070</v>
          </cell>
        </row>
        <row r="45">
          <cell r="R45">
            <v>134370</v>
          </cell>
        </row>
        <row r="46">
          <cell r="L46">
            <v>15780</v>
          </cell>
          <cell r="R46">
            <v>111870</v>
          </cell>
        </row>
        <row r="47">
          <cell r="R47">
            <v>100263</v>
          </cell>
        </row>
        <row r="48">
          <cell r="R48">
            <v>74500</v>
          </cell>
        </row>
        <row r="49">
          <cell r="R49">
            <v>52890</v>
          </cell>
        </row>
        <row r="50">
          <cell r="R50">
            <v>257183</v>
          </cell>
        </row>
        <row r="51">
          <cell r="R51">
            <v>71530</v>
          </cell>
        </row>
        <row r="57">
          <cell r="H57">
            <v>85560</v>
          </cell>
          <cell r="N57">
            <v>49195</v>
          </cell>
          <cell r="T57">
            <v>9975</v>
          </cell>
        </row>
        <row r="58">
          <cell r="H58">
            <v>114105</v>
          </cell>
          <cell r="N58">
            <v>95145</v>
          </cell>
        </row>
        <row r="59">
          <cell r="H59">
            <v>60430</v>
          </cell>
          <cell r="N59">
            <v>18360</v>
          </cell>
        </row>
        <row r="60">
          <cell r="H60">
            <v>108735</v>
          </cell>
          <cell r="N60">
            <v>65515</v>
          </cell>
        </row>
        <row r="61">
          <cell r="H61">
            <v>57915</v>
          </cell>
          <cell r="N61">
            <v>40950</v>
          </cell>
        </row>
        <row r="62">
          <cell r="H62">
            <v>116620</v>
          </cell>
          <cell r="N62">
            <v>30900</v>
          </cell>
        </row>
        <row r="63">
          <cell r="H63">
            <v>157785</v>
          </cell>
          <cell r="N63">
            <v>17175</v>
          </cell>
        </row>
        <row r="64">
          <cell r="H64">
            <v>65655</v>
          </cell>
          <cell r="N64">
            <v>10350</v>
          </cell>
        </row>
        <row r="65">
          <cell r="H65">
            <v>58470</v>
          </cell>
          <cell r="N65">
            <v>21150</v>
          </cell>
        </row>
        <row r="66">
          <cell r="H66">
            <v>194640</v>
          </cell>
          <cell r="N66">
            <v>15900</v>
          </cell>
        </row>
        <row r="67">
          <cell r="H67">
            <v>83790</v>
          </cell>
          <cell r="N67">
            <v>5925</v>
          </cell>
        </row>
        <row r="68">
          <cell r="H68">
            <v>26910</v>
          </cell>
          <cell r="N68">
            <v>4050</v>
          </cell>
          <cell r="T68">
            <v>11400</v>
          </cell>
        </row>
        <row r="74">
          <cell r="H74">
            <v>12600</v>
          </cell>
          <cell r="N74">
            <v>6300</v>
          </cell>
          <cell r="T74">
            <v>0</v>
          </cell>
          <cell r="Z74">
            <v>4326</v>
          </cell>
        </row>
        <row r="75">
          <cell r="H75">
            <v>4335</v>
          </cell>
          <cell r="N75">
            <v>5925</v>
          </cell>
          <cell r="T75">
            <v>6375</v>
          </cell>
          <cell r="Z75">
            <v>900</v>
          </cell>
        </row>
        <row r="76">
          <cell r="H76">
            <v>4200</v>
          </cell>
          <cell r="N76">
            <v>2700</v>
          </cell>
          <cell r="T76">
            <v>3615</v>
          </cell>
          <cell r="Z76">
            <v>25340</v>
          </cell>
        </row>
        <row r="77">
          <cell r="H77">
            <v>0</v>
          </cell>
          <cell r="N77">
            <v>5925</v>
          </cell>
          <cell r="T77">
            <v>7210</v>
          </cell>
          <cell r="Z77">
            <v>10020</v>
          </cell>
        </row>
        <row r="78">
          <cell r="H78">
            <v>12300</v>
          </cell>
          <cell r="N78">
            <v>5100</v>
          </cell>
          <cell r="T78">
            <v>1440</v>
          </cell>
          <cell r="Z78">
            <v>16105</v>
          </cell>
        </row>
        <row r="79">
          <cell r="H79">
            <v>0</v>
          </cell>
          <cell r="N79">
            <v>8745</v>
          </cell>
          <cell r="T79">
            <v>9630</v>
          </cell>
          <cell r="Z79">
            <v>2400</v>
          </cell>
        </row>
        <row r="80">
          <cell r="H80">
            <v>4800</v>
          </cell>
          <cell r="N80">
            <v>5100</v>
          </cell>
          <cell r="T80">
            <v>10450</v>
          </cell>
          <cell r="Z80">
            <v>8145</v>
          </cell>
        </row>
        <row r="81">
          <cell r="H81">
            <v>4200</v>
          </cell>
          <cell r="N81">
            <v>5355</v>
          </cell>
          <cell r="T81">
            <v>3600</v>
          </cell>
          <cell r="Z81">
            <v>10330</v>
          </cell>
        </row>
        <row r="82">
          <cell r="H82">
            <v>3975</v>
          </cell>
          <cell r="N82">
            <v>2160</v>
          </cell>
          <cell r="T82">
            <v>9400</v>
          </cell>
          <cell r="Z82">
            <v>10770</v>
          </cell>
        </row>
        <row r="83">
          <cell r="H83">
            <v>7200</v>
          </cell>
          <cell r="N83">
            <v>14100</v>
          </cell>
          <cell r="T83">
            <v>11790</v>
          </cell>
          <cell r="Z83">
            <v>8310</v>
          </cell>
        </row>
        <row r="84">
          <cell r="H84">
            <v>7350</v>
          </cell>
          <cell r="N84">
            <v>0</v>
          </cell>
          <cell r="T84">
            <v>6345</v>
          </cell>
          <cell r="Z84">
            <v>7440</v>
          </cell>
        </row>
        <row r="85">
          <cell r="H85">
            <v>9900</v>
          </cell>
          <cell r="N85">
            <v>3000</v>
          </cell>
          <cell r="T85">
            <v>9700</v>
          </cell>
          <cell r="Z85">
            <v>10830</v>
          </cell>
        </row>
        <row r="91">
          <cell r="H91">
            <v>12120</v>
          </cell>
          <cell r="N91">
            <v>12810</v>
          </cell>
        </row>
        <row r="92">
          <cell r="H92">
            <v>5790</v>
          </cell>
          <cell r="N92">
            <v>11430</v>
          </cell>
        </row>
        <row r="93">
          <cell r="H93">
            <v>12450</v>
          </cell>
          <cell r="N93">
            <v>15450</v>
          </cell>
        </row>
        <row r="94">
          <cell r="H94">
            <v>19950</v>
          </cell>
          <cell r="N94">
            <v>12300</v>
          </cell>
        </row>
        <row r="95">
          <cell r="H95">
            <v>12690</v>
          </cell>
          <cell r="N95">
            <v>19965</v>
          </cell>
        </row>
        <row r="96">
          <cell r="H96">
            <v>9080</v>
          </cell>
          <cell r="N96">
            <v>4150</v>
          </cell>
        </row>
        <row r="97">
          <cell r="H97">
            <v>18480</v>
          </cell>
          <cell r="N97">
            <v>22140</v>
          </cell>
        </row>
        <row r="98">
          <cell r="H98">
            <v>3150</v>
          </cell>
          <cell r="N98">
            <v>0</v>
          </cell>
        </row>
        <row r="99">
          <cell r="H99">
            <v>25230</v>
          </cell>
          <cell r="N99">
            <v>0</v>
          </cell>
        </row>
        <row r="100">
          <cell r="H100">
            <v>9600</v>
          </cell>
          <cell r="N100">
            <v>10990</v>
          </cell>
        </row>
        <row r="101">
          <cell r="H101">
            <v>29220</v>
          </cell>
          <cell r="N101">
            <v>9810</v>
          </cell>
        </row>
        <row r="102">
          <cell r="H102">
            <v>5050</v>
          </cell>
          <cell r="N102">
            <v>4320</v>
          </cell>
        </row>
      </sheetData>
      <sheetData sheetId="4" refreshError="1"/>
      <sheetData sheetId="5">
        <row r="6">
          <cell r="M6">
            <v>49195</v>
          </cell>
          <cell r="N6">
            <v>9975</v>
          </cell>
        </row>
        <row r="7">
          <cell r="J7">
            <v>105840</v>
          </cell>
          <cell r="M7">
            <v>95145</v>
          </cell>
          <cell r="N7">
            <v>14880</v>
          </cell>
        </row>
        <row r="8">
          <cell r="J8">
            <v>52050</v>
          </cell>
          <cell r="M8">
            <v>18360</v>
          </cell>
          <cell r="N8">
            <v>13700</v>
          </cell>
        </row>
        <row r="9">
          <cell r="J9">
            <v>7800</v>
          </cell>
          <cell r="M9">
            <v>65515</v>
          </cell>
          <cell r="N9">
            <v>8025</v>
          </cell>
        </row>
        <row r="10">
          <cell r="J10">
            <v>12880</v>
          </cell>
          <cell r="M10">
            <v>40950</v>
          </cell>
          <cell r="N10">
            <v>11850</v>
          </cell>
        </row>
        <row r="11">
          <cell r="J11">
            <v>330</v>
          </cell>
          <cell r="M11">
            <v>30900</v>
          </cell>
          <cell r="N11">
            <v>12900</v>
          </cell>
        </row>
        <row r="12">
          <cell r="M12">
            <v>17175</v>
          </cell>
          <cell r="N12">
            <v>6300</v>
          </cell>
        </row>
        <row r="13">
          <cell r="J13">
            <v>7950</v>
          </cell>
          <cell r="M13">
            <v>10350</v>
          </cell>
          <cell r="N13">
            <v>2625</v>
          </cell>
        </row>
        <row r="14">
          <cell r="J14">
            <v>64730</v>
          </cell>
          <cell r="M14">
            <v>21150</v>
          </cell>
          <cell r="N14">
            <v>4425</v>
          </cell>
        </row>
        <row r="15">
          <cell r="J15">
            <v>95240</v>
          </cell>
          <cell r="M15">
            <v>15900</v>
          </cell>
          <cell r="N15">
            <v>0</v>
          </cell>
        </row>
        <row r="16">
          <cell r="J16">
            <v>62380</v>
          </cell>
          <cell r="M16">
            <v>5925</v>
          </cell>
          <cell r="N16">
            <v>14700</v>
          </cell>
        </row>
        <row r="17">
          <cell r="J17">
            <v>86100</v>
          </cell>
          <cell r="M17">
            <v>4050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tion of Cement"/>
      <sheetName val="Cement imports by month"/>
      <sheetName val="Cement Imports"/>
      <sheetName val="Cement Block by Month"/>
      <sheetName val="Cement Block Imports"/>
      <sheetName val="Cement Blocks imports by month"/>
    </sheetNames>
    <sheetDataSet>
      <sheetData sheetId="0" refreshError="1"/>
      <sheetData sheetId="1">
        <row r="51">
          <cell r="I51">
            <v>1063562.5</v>
          </cell>
          <cell r="J51">
            <v>27345.454545454544</v>
          </cell>
          <cell r="K51">
            <v>1165010</v>
          </cell>
          <cell r="L51">
            <v>43752.727272727272</v>
          </cell>
        </row>
        <row r="52">
          <cell r="I52">
            <v>148750</v>
          </cell>
          <cell r="J52">
            <v>66996.363636363632</v>
          </cell>
          <cell r="K52">
            <v>1091697.5</v>
          </cell>
          <cell r="L52">
            <v>48538.181818181816</v>
          </cell>
        </row>
        <row r="53">
          <cell r="I53">
            <v>944562.5</v>
          </cell>
          <cell r="J53">
            <v>137069.09090909091</v>
          </cell>
          <cell r="K53">
            <v>1218262.5</v>
          </cell>
          <cell r="L53">
            <v>95709.090909090897</v>
          </cell>
        </row>
        <row r="54">
          <cell r="I54">
            <v>476170</v>
          </cell>
          <cell r="J54">
            <v>51614.545454545449</v>
          </cell>
          <cell r="K54">
            <v>446250</v>
          </cell>
          <cell r="L54">
            <v>30079.999999999996</v>
          </cell>
        </row>
        <row r="55">
          <cell r="I55">
            <v>45050</v>
          </cell>
          <cell r="J55">
            <v>27345.454545454544</v>
          </cell>
        </row>
        <row r="56">
          <cell r="I56">
            <v>751187.5</v>
          </cell>
          <cell r="J56">
            <v>79301.818181818177</v>
          </cell>
        </row>
        <row r="57">
          <cell r="I57">
            <v>1316990</v>
          </cell>
          <cell r="J57">
            <v>41018.181818181816</v>
          </cell>
        </row>
        <row r="58">
          <cell r="I58">
            <v>728875</v>
          </cell>
          <cell r="J58">
            <v>86138.181818181809</v>
          </cell>
        </row>
        <row r="59">
          <cell r="I59">
            <v>74375</v>
          </cell>
          <cell r="J59">
            <v>27345.454545454544</v>
          </cell>
        </row>
        <row r="60">
          <cell r="I60">
            <v>985022.5</v>
          </cell>
          <cell r="J60">
            <v>29054.545454545452</v>
          </cell>
        </row>
        <row r="61">
          <cell r="I61">
            <v>1885300</v>
          </cell>
          <cell r="J61">
            <v>145785.45454545453</v>
          </cell>
        </row>
        <row r="62">
          <cell r="I62">
            <v>938485</v>
          </cell>
          <cell r="J62">
            <v>27345.454545454544</v>
          </cell>
        </row>
      </sheetData>
      <sheetData sheetId="2" refreshError="1"/>
      <sheetData sheetId="3">
        <row r="91">
          <cell r="T91">
            <v>360</v>
          </cell>
          <cell r="Z91">
            <v>10170</v>
          </cell>
        </row>
        <row r="92">
          <cell r="T92">
            <v>9990</v>
          </cell>
          <cell r="Z92">
            <v>0</v>
          </cell>
        </row>
        <row r="93">
          <cell r="T93">
            <v>8730</v>
          </cell>
          <cell r="Z93">
            <v>23970</v>
          </cell>
        </row>
        <row r="94">
          <cell r="T94">
            <v>21525</v>
          </cell>
          <cell r="Z94">
            <v>34685</v>
          </cell>
        </row>
        <row r="95">
          <cell r="T95">
            <v>9765</v>
          </cell>
        </row>
        <row r="96">
          <cell r="T96">
            <v>8280</v>
          </cell>
        </row>
        <row r="97">
          <cell r="T97">
            <v>0</v>
          </cell>
        </row>
        <row r="98">
          <cell r="T98">
            <v>20025</v>
          </cell>
        </row>
        <row r="99">
          <cell r="T99">
            <v>0</v>
          </cell>
        </row>
        <row r="100">
          <cell r="T100">
            <v>12990</v>
          </cell>
        </row>
        <row r="101">
          <cell r="T101">
            <v>5520</v>
          </cell>
        </row>
        <row r="102">
          <cell r="T102">
            <v>18570</v>
          </cell>
        </row>
      </sheetData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tion of Cement"/>
      <sheetName val="Cement imports by month"/>
      <sheetName val="Cement Imports"/>
      <sheetName val="Cement Block by Month"/>
      <sheetName val="Cement Block Imports"/>
      <sheetName val="Cement Blocks imports by month"/>
    </sheetNames>
    <sheetDataSet>
      <sheetData sheetId="0"/>
      <sheetData sheetId="1">
        <row r="51">
          <cell r="M51">
            <v>446250</v>
          </cell>
          <cell r="N51">
            <v>201544.54545454544</v>
          </cell>
        </row>
        <row r="52">
          <cell r="M52">
            <v>833000</v>
          </cell>
          <cell r="N52">
            <v>122883.63636363635</v>
          </cell>
        </row>
        <row r="53">
          <cell r="M53">
            <v>370175</v>
          </cell>
          <cell r="N53">
            <v>149887.27272727271</v>
          </cell>
        </row>
        <row r="54">
          <cell r="M54">
            <v>1708415</v>
          </cell>
          <cell r="N54">
            <v>53323.63636363636</v>
          </cell>
        </row>
        <row r="55">
          <cell r="K55">
            <v>1262887.5</v>
          </cell>
          <cell r="L55">
            <v>169541.81818181818</v>
          </cell>
          <cell r="M55">
            <v>1508452.5</v>
          </cell>
          <cell r="N55">
            <v>27345.454545454544</v>
          </cell>
        </row>
        <row r="56">
          <cell r="K56">
            <v>1085875</v>
          </cell>
          <cell r="L56">
            <v>125789.0909090909</v>
          </cell>
          <cell r="M56">
            <v>1399312.5</v>
          </cell>
          <cell r="N56">
            <v>88509.545454545441</v>
          </cell>
        </row>
        <row r="57">
          <cell r="K57">
            <v>1145375</v>
          </cell>
          <cell r="L57">
            <v>170567.27272727271</v>
          </cell>
          <cell r="M57">
            <v>505750</v>
          </cell>
          <cell r="N57">
            <v>74836.818181818177</v>
          </cell>
        </row>
        <row r="58">
          <cell r="K58">
            <v>0</v>
          </cell>
          <cell r="L58">
            <v>44094.545454545449</v>
          </cell>
          <cell r="M58">
            <v>818125</v>
          </cell>
          <cell r="N58">
            <v>87505.454545454544</v>
          </cell>
        </row>
        <row r="59">
          <cell r="K59">
            <v>629212.5</v>
          </cell>
          <cell r="L59">
            <v>68192.727272727265</v>
          </cell>
          <cell r="M59">
            <v>1710200</v>
          </cell>
          <cell r="N59">
            <v>24610.909090909088</v>
          </cell>
        </row>
        <row r="60">
          <cell r="K60">
            <v>2665600</v>
          </cell>
          <cell r="L60">
            <v>139803.63636363635</v>
          </cell>
          <cell r="M60">
            <v>0</v>
          </cell>
          <cell r="N60">
            <v>0</v>
          </cell>
        </row>
        <row r="61">
          <cell r="K61">
            <v>1152812.5</v>
          </cell>
          <cell r="L61">
            <v>136919.54545454544</v>
          </cell>
          <cell r="M61">
            <v>0</v>
          </cell>
          <cell r="N61">
            <v>0</v>
          </cell>
        </row>
        <row r="62">
          <cell r="K62">
            <v>27200</v>
          </cell>
          <cell r="L62">
            <v>30079.999999999996</v>
          </cell>
          <cell r="M62">
            <v>0</v>
          </cell>
          <cell r="N62">
            <v>0</v>
          </cell>
        </row>
      </sheetData>
      <sheetData sheetId="2"/>
      <sheetData sheetId="3">
        <row r="91">
          <cell r="AF91">
            <v>12960</v>
          </cell>
          <cell r="AL91">
            <v>9210</v>
          </cell>
          <cell r="AR91">
            <v>6750</v>
          </cell>
          <cell r="AX91">
            <v>1540</v>
          </cell>
        </row>
        <row r="92">
          <cell r="AF92">
            <v>37560</v>
          </cell>
          <cell r="AL92">
            <v>17055</v>
          </cell>
          <cell r="AR92">
            <v>18510</v>
          </cell>
          <cell r="AX92">
            <v>21483</v>
          </cell>
        </row>
        <row r="93">
          <cell r="AF93">
            <v>20240</v>
          </cell>
          <cell r="AL93">
            <v>6480</v>
          </cell>
          <cell r="AR93">
            <v>18060</v>
          </cell>
          <cell r="AX93">
            <v>27712</v>
          </cell>
        </row>
        <row r="94">
          <cell r="AF94">
            <v>12000</v>
          </cell>
          <cell r="AL94">
            <v>14670</v>
          </cell>
          <cell r="AR94">
            <v>2880</v>
          </cell>
          <cell r="AX94">
            <v>42780</v>
          </cell>
        </row>
        <row r="95">
          <cell r="Z95">
            <v>46350</v>
          </cell>
          <cell r="AF95">
            <v>3000</v>
          </cell>
          <cell r="AL95">
            <v>8865</v>
          </cell>
          <cell r="AR95">
            <v>4500</v>
          </cell>
          <cell r="AX95">
            <v>33930</v>
          </cell>
        </row>
        <row r="96">
          <cell r="Z96">
            <v>7050</v>
          </cell>
          <cell r="AF96">
            <v>22770</v>
          </cell>
          <cell r="AL96">
            <v>10050</v>
          </cell>
          <cell r="AR96">
            <v>9180</v>
          </cell>
          <cell r="AX96">
            <v>38032</v>
          </cell>
        </row>
        <row r="97">
          <cell r="Z97">
            <v>30840</v>
          </cell>
          <cell r="AF97">
            <v>2100</v>
          </cell>
          <cell r="AL97">
            <v>22015</v>
          </cell>
          <cell r="AR97">
            <v>0</v>
          </cell>
          <cell r="AX97">
            <v>34830</v>
          </cell>
        </row>
        <row r="98">
          <cell r="Z98">
            <v>0</v>
          </cell>
          <cell r="AF98">
            <v>800</v>
          </cell>
          <cell r="AL98">
            <v>7890</v>
          </cell>
          <cell r="AR98">
            <v>11250</v>
          </cell>
          <cell r="AX98">
            <v>40751</v>
          </cell>
        </row>
        <row r="99">
          <cell r="Z99">
            <v>15870</v>
          </cell>
          <cell r="AF99">
            <v>0</v>
          </cell>
          <cell r="AL99">
            <v>17925</v>
          </cell>
          <cell r="AR99">
            <v>10980</v>
          </cell>
          <cell r="AX99">
            <v>17400</v>
          </cell>
        </row>
        <row r="100">
          <cell r="Z100">
            <v>3600</v>
          </cell>
          <cell r="AF100">
            <v>75270</v>
          </cell>
          <cell r="AL100">
            <v>18585</v>
          </cell>
          <cell r="AR100">
            <v>27910</v>
          </cell>
          <cell r="AX100">
            <v>20461</v>
          </cell>
        </row>
        <row r="101">
          <cell r="Z101">
            <v>14720</v>
          </cell>
          <cell r="AF101">
            <v>8790</v>
          </cell>
          <cell r="AL101">
            <v>25320</v>
          </cell>
          <cell r="AR101">
            <v>11210</v>
          </cell>
          <cell r="AX101">
            <v>25560</v>
          </cell>
        </row>
        <row r="102">
          <cell r="Z102">
            <v>26880</v>
          </cell>
          <cell r="AF102">
            <v>19065</v>
          </cell>
          <cell r="AL102">
            <v>9720</v>
          </cell>
          <cell r="AR102">
            <v>15540</v>
          </cell>
          <cell r="AX102">
            <v>0</v>
          </cell>
        </row>
      </sheetData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tation of Cement"/>
      <sheetName val="Cement Imports"/>
      <sheetName val="Cement Block by Month"/>
      <sheetName val="Cement Block Imports"/>
      <sheetName val="Cement imports by month"/>
      <sheetName val="Cement Blocks imports by month"/>
    </sheetNames>
    <sheetDataSet>
      <sheetData sheetId="0"/>
      <sheetData sheetId="1"/>
      <sheetData sheetId="2"/>
      <sheetData sheetId="3"/>
      <sheetData sheetId="4">
        <row r="11">
          <cell r="H11">
            <v>76307</v>
          </cell>
        </row>
        <row r="12">
          <cell r="H12">
            <v>37252.810000000005</v>
          </cell>
        </row>
        <row r="13">
          <cell r="H13">
            <v>36928.715000000004</v>
          </cell>
        </row>
        <row r="14">
          <cell r="H14">
            <v>34919.020000000004</v>
          </cell>
        </row>
      </sheetData>
      <sheetData sheetId="5">
        <row r="7">
          <cell r="H7">
            <v>22920</v>
          </cell>
        </row>
        <row r="11">
          <cell r="H11">
            <v>20790</v>
          </cell>
        </row>
        <row r="12">
          <cell r="H12">
            <v>22845</v>
          </cell>
        </row>
        <row r="13">
          <cell r="H13">
            <v>26910</v>
          </cell>
        </row>
        <row r="14">
          <cell r="H14">
            <v>15690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Application Charts"/>
      <sheetName val="Bldg Permit Charts"/>
      <sheetName val="Pie Charts"/>
    </sheetNames>
    <sheetDataSet>
      <sheetData sheetId="0"/>
      <sheetData sheetId="1">
        <row r="78">
          <cell r="M78">
            <v>75</v>
          </cell>
          <cell r="N78">
            <v>95</v>
          </cell>
          <cell r="O78">
            <v>109</v>
          </cell>
          <cell r="P78">
            <v>96</v>
          </cell>
        </row>
        <row r="79">
          <cell r="M79">
            <v>48</v>
          </cell>
          <cell r="N79">
            <v>69</v>
          </cell>
          <cell r="O79">
            <v>66</v>
          </cell>
          <cell r="P79">
            <v>88</v>
          </cell>
        </row>
        <row r="80">
          <cell r="M80">
            <v>1</v>
          </cell>
          <cell r="N80">
            <v>4</v>
          </cell>
          <cell r="O80">
            <v>2</v>
          </cell>
          <cell r="P80">
            <v>4</v>
          </cell>
        </row>
        <row r="81">
          <cell r="M81">
            <v>10</v>
          </cell>
          <cell r="N81">
            <v>10</v>
          </cell>
          <cell r="O81">
            <v>9</v>
          </cell>
          <cell r="P81">
            <v>9</v>
          </cell>
        </row>
        <row r="82">
          <cell r="M82">
            <v>0</v>
          </cell>
          <cell r="N82">
            <v>1</v>
          </cell>
          <cell r="O82">
            <v>0</v>
          </cell>
          <cell r="P82">
            <v>0</v>
          </cell>
        </row>
        <row r="83">
          <cell r="M83">
            <v>16</v>
          </cell>
          <cell r="N83">
            <v>10</v>
          </cell>
          <cell r="O83">
            <v>7</v>
          </cell>
          <cell r="P83">
            <v>7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Report Sheet"/>
      <sheetName val="Statisitcal Data"/>
    </sheetNames>
    <sheetDataSet>
      <sheetData sheetId="0" refreshError="1"/>
      <sheetData sheetId="1" refreshError="1"/>
      <sheetData sheetId="2">
        <row r="7">
          <cell r="C7">
            <v>1</v>
          </cell>
          <cell r="D7">
            <v>337680</v>
          </cell>
          <cell r="E7">
            <v>0</v>
          </cell>
          <cell r="F7">
            <v>0</v>
          </cell>
          <cell r="G7">
            <v>10</v>
          </cell>
          <cell r="H7">
            <v>6118506.4639999997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2</v>
          </cell>
          <cell r="D8">
            <v>513648.79999999993</v>
          </cell>
          <cell r="E8">
            <v>0</v>
          </cell>
          <cell r="F8">
            <v>0</v>
          </cell>
          <cell r="G8">
            <v>14</v>
          </cell>
          <cell r="H8">
            <v>6545559.1040000003</v>
          </cell>
          <cell r="I8">
            <v>1</v>
          </cell>
          <cell r="J8">
            <v>1260859.5999999999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3</v>
          </cell>
          <cell r="D9">
            <v>2679351.9759999998</v>
          </cell>
          <cell r="E9">
            <v>0</v>
          </cell>
          <cell r="F9">
            <v>0</v>
          </cell>
          <cell r="G9">
            <v>11</v>
          </cell>
          <cell r="H9">
            <v>11900458.527999999</v>
          </cell>
          <cell r="I9">
            <v>2</v>
          </cell>
          <cell r="J9">
            <v>1441477.128</v>
          </cell>
          <cell r="K9">
            <v>1</v>
          </cell>
          <cell r="L9">
            <v>493763.2</v>
          </cell>
          <cell r="M9">
            <v>0</v>
          </cell>
          <cell r="N9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9</v>
          </cell>
          <cell r="H11">
            <v>5419000.4680000003</v>
          </cell>
          <cell r="I11">
            <v>4</v>
          </cell>
          <cell r="J11">
            <v>2739451.5120000001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3</v>
          </cell>
          <cell r="D12">
            <v>1312074.3999999999</v>
          </cell>
          <cell r="E12">
            <v>0</v>
          </cell>
          <cell r="F12">
            <v>0</v>
          </cell>
          <cell r="G12">
            <v>12</v>
          </cell>
          <cell r="H12">
            <v>5880599.648</v>
          </cell>
          <cell r="I12">
            <v>3</v>
          </cell>
          <cell r="J12">
            <v>2251091.1920000003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1</v>
          </cell>
          <cell r="D13">
            <v>839622.56</v>
          </cell>
          <cell r="E13">
            <v>0</v>
          </cell>
          <cell r="F13">
            <v>0</v>
          </cell>
          <cell r="G13">
            <v>15</v>
          </cell>
          <cell r="H13">
            <v>8338716.8200000003</v>
          </cell>
          <cell r="I13">
            <v>3</v>
          </cell>
          <cell r="J13">
            <v>1454999.3360000001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5">
          <cell r="C15">
            <v>2</v>
          </cell>
          <cell r="D15">
            <v>677614.95200000005</v>
          </cell>
          <cell r="E15">
            <v>1</v>
          </cell>
          <cell r="F15">
            <v>736945.32799999998</v>
          </cell>
          <cell r="G15">
            <v>16</v>
          </cell>
          <cell r="H15">
            <v>7165912.9079999998</v>
          </cell>
          <cell r="I15">
            <v>6</v>
          </cell>
          <cell r="J15">
            <v>3742860.128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1</v>
          </cell>
          <cell r="D16">
            <v>51027.199999999997</v>
          </cell>
          <cell r="E16">
            <v>0</v>
          </cell>
          <cell r="F16">
            <v>0</v>
          </cell>
          <cell r="G16">
            <v>4</v>
          </cell>
          <cell r="H16">
            <v>2363863.1800000002</v>
          </cell>
          <cell r="I16">
            <v>7</v>
          </cell>
          <cell r="J16">
            <v>2455477.64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4</v>
          </cell>
          <cell r="D17">
            <v>1897665.9239999999</v>
          </cell>
          <cell r="E17">
            <v>7</v>
          </cell>
          <cell r="F17">
            <v>12603489.527999999</v>
          </cell>
          <cell r="G17">
            <v>18</v>
          </cell>
          <cell r="H17">
            <v>7807124.0800000001</v>
          </cell>
          <cell r="I17">
            <v>3</v>
          </cell>
          <cell r="J17">
            <v>3183217.4360000002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9">
          <cell r="C19">
            <v>4</v>
          </cell>
          <cell r="D19">
            <v>2749368.048</v>
          </cell>
          <cell r="E19">
            <v>2</v>
          </cell>
          <cell r="F19">
            <v>447050.8</v>
          </cell>
          <cell r="G19">
            <v>13</v>
          </cell>
          <cell r="H19">
            <v>7120209.7960000001</v>
          </cell>
          <cell r="I19">
            <v>0</v>
          </cell>
          <cell r="J19">
            <v>0</v>
          </cell>
          <cell r="K19">
            <v>1</v>
          </cell>
          <cell r="L19">
            <v>427540.39999999997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13</v>
          </cell>
          <cell r="H20">
            <v>6797040.6560000004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4</v>
          </cell>
          <cell r="H21">
            <v>4683240.7719999999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atistical Report Sheet"/>
      <sheetName val="Statisitcal Data"/>
      <sheetName val="Building Section Report Sheet"/>
    </sheetNames>
    <sheetDataSet>
      <sheetData sheetId="0" refreshError="1"/>
      <sheetData sheetId="1" refreshError="1"/>
      <sheetData sheetId="2">
        <row r="7">
          <cell r="C7">
            <v>30</v>
          </cell>
          <cell r="D7">
            <v>35943156.339999996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</v>
          </cell>
          <cell r="J7">
            <v>1151556.3359999999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8</v>
          </cell>
          <cell r="D8">
            <v>2972379.4239999996</v>
          </cell>
          <cell r="E8">
            <v>2</v>
          </cell>
          <cell r="F8">
            <v>1361038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8</v>
          </cell>
          <cell r="D9">
            <v>3452567.8879999998</v>
          </cell>
          <cell r="E9">
            <v>1</v>
          </cell>
          <cell r="F9">
            <v>667105.6</v>
          </cell>
          <cell r="G9">
            <v>0</v>
          </cell>
          <cell r="H9">
            <v>0</v>
          </cell>
          <cell r="I9">
            <v>1</v>
          </cell>
          <cell r="J9">
            <v>150455.19999999998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1">
          <cell r="C11">
            <v>14</v>
          </cell>
          <cell r="D11">
            <v>8063577.0320000006</v>
          </cell>
          <cell r="E11">
            <v>6</v>
          </cell>
          <cell r="F11">
            <v>3059005.5999999996</v>
          </cell>
          <cell r="G11">
            <v>2</v>
          </cell>
          <cell r="H11">
            <v>5687634.2879999997</v>
          </cell>
          <cell r="I11">
            <v>2</v>
          </cell>
          <cell r="J11">
            <v>1358642.348</v>
          </cell>
          <cell r="K11">
            <v>0</v>
          </cell>
          <cell r="L11">
            <v>0</v>
          </cell>
          <cell r="M11">
            <v>2</v>
          </cell>
          <cell r="N11">
            <v>11373116.804</v>
          </cell>
        </row>
        <row r="12">
          <cell r="C12">
            <v>17</v>
          </cell>
          <cell r="D12">
            <v>9615529.9240000006</v>
          </cell>
          <cell r="E12">
            <v>4</v>
          </cell>
          <cell r="F12">
            <v>2950011.8760000002</v>
          </cell>
          <cell r="G12">
            <v>0</v>
          </cell>
          <cell r="H12">
            <v>0</v>
          </cell>
          <cell r="I12">
            <v>3</v>
          </cell>
          <cell r="J12">
            <v>4013152.3319999999</v>
          </cell>
          <cell r="K12">
            <v>1</v>
          </cell>
          <cell r="L12">
            <v>1736675.108</v>
          </cell>
          <cell r="M12">
            <v>0</v>
          </cell>
          <cell r="N12">
            <v>0</v>
          </cell>
        </row>
        <row r="13">
          <cell r="C13">
            <v>11</v>
          </cell>
          <cell r="D13">
            <v>5127631.0287999995</v>
          </cell>
          <cell r="E13">
            <v>1</v>
          </cell>
          <cell r="F13">
            <v>1651868.652</v>
          </cell>
          <cell r="G13">
            <v>2</v>
          </cell>
          <cell r="H13">
            <v>38501480.051999994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5">
          <cell r="C15">
            <v>12</v>
          </cell>
          <cell r="D15">
            <v>11522136.301199999</v>
          </cell>
          <cell r="E15">
            <v>1</v>
          </cell>
          <cell r="F15">
            <v>400150.8</v>
          </cell>
          <cell r="G15">
            <v>2</v>
          </cell>
          <cell r="H15">
            <v>3273886.392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</v>
          </cell>
          <cell r="N15">
            <v>336655.70399999997</v>
          </cell>
        </row>
        <row r="16">
          <cell r="C16">
            <v>8</v>
          </cell>
          <cell r="D16">
            <v>5337516.4079999998</v>
          </cell>
          <cell r="E16">
            <v>0</v>
          </cell>
          <cell r="F16">
            <v>0</v>
          </cell>
          <cell r="G16">
            <v>9</v>
          </cell>
          <cell r="H16">
            <v>7117615.2880000006</v>
          </cell>
          <cell r="I16">
            <v>3</v>
          </cell>
          <cell r="J16">
            <v>3199632.4359999998</v>
          </cell>
          <cell r="K16">
            <v>0</v>
          </cell>
          <cell r="L16">
            <v>0</v>
          </cell>
          <cell r="M16">
            <v>1</v>
          </cell>
          <cell r="N16">
            <v>168840</v>
          </cell>
        </row>
        <row r="17">
          <cell r="C17">
            <v>9</v>
          </cell>
          <cell r="D17">
            <v>3975637.96</v>
          </cell>
          <cell r="E17">
            <v>0</v>
          </cell>
          <cell r="F17">
            <v>0</v>
          </cell>
          <cell r="G17">
            <v>4</v>
          </cell>
          <cell r="H17">
            <v>1146502.392</v>
          </cell>
          <cell r="I17">
            <v>1</v>
          </cell>
          <cell r="J17">
            <v>773911.90799999994</v>
          </cell>
          <cell r="K17">
            <v>0</v>
          </cell>
          <cell r="L17">
            <v>0</v>
          </cell>
          <cell r="M17">
            <v>1</v>
          </cell>
          <cell r="N17">
            <v>102242</v>
          </cell>
        </row>
        <row r="19">
          <cell r="C19">
            <v>5</v>
          </cell>
          <cell r="D19">
            <v>3579552.4519999996</v>
          </cell>
          <cell r="E19">
            <v>3</v>
          </cell>
          <cell r="F19">
            <v>2430992.088</v>
          </cell>
          <cell r="G19">
            <v>1</v>
          </cell>
          <cell r="H19">
            <v>1514010.7919999999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14</v>
          </cell>
          <cell r="D20">
            <v>9516899.2239999995</v>
          </cell>
          <cell r="E20">
            <v>1</v>
          </cell>
          <cell r="F20">
            <v>800489.2</v>
          </cell>
          <cell r="G20">
            <v>1</v>
          </cell>
          <cell r="H20">
            <v>1844108</v>
          </cell>
          <cell r="I20">
            <v>0</v>
          </cell>
          <cell r="J20">
            <v>0</v>
          </cell>
          <cell r="K20">
            <v>1</v>
          </cell>
          <cell r="L20">
            <v>469624.70799999998</v>
          </cell>
          <cell r="M20">
            <v>0</v>
          </cell>
          <cell r="N20">
            <v>0</v>
          </cell>
        </row>
        <row r="21">
          <cell r="C21">
            <v>11</v>
          </cell>
          <cell r="D21">
            <v>4583448.8279999997</v>
          </cell>
          <cell r="E21">
            <v>1</v>
          </cell>
          <cell r="F21">
            <v>843074.4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atistical Report Sheet"/>
      <sheetName val="Statisitcal Data"/>
      <sheetName val="Building Section Report Sheet"/>
    </sheetNames>
    <sheetDataSet>
      <sheetData sheetId="0" refreshError="1"/>
      <sheetData sheetId="1" refreshError="1"/>
      <sheetData sheetId="2">
        <row r="7">
          <cell r="C7">
            <v>6</v>
          </cell>
          <cell r="D7">
            <v>4095581.0219999999</v>
          </cell>
          <cell r="E7">
            <v>0</v>
          </cell>
          <cell r="F7">
            <v>0</v>
          </cell>
          <cell r="G7">
            <v>1</v>
          </cell>
          <cell r="H7">
            <v>9908315.5999999996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11</v>
          </cell>
          <cell r="D8">
            <v>10298228.577</v>
          </cell>
          <cell r="E8">
            <v>2</v>
          </cell>
          <cell r="F8">
            <v>1350402.76</v>
          </cell>
          <cell r="G8">
            <v>0</v>
          </cell>
          <cell r="H8">
            <v>0</v>
          </cell>
          <cell r="I8">
            <v>1</v>
          </cell>
          <cell r="J8">
            <v>2767752</v>
          </cell>
          <cell r="K8">
            <v>0</v>
          </cell>
          <cell r="L8">
            <v>0</v>
          </cell>
          <cell r="M8">
            <v>1</v>
          </cell>
          <cell r="N8">
            <v>150289.52499999999</v>
          </cell>
        </row>
        <row r="9">
          <cell r="C9">
            <v>13</v>
          </cell>
          <cell r="D9">
            <v>14943773.158</v>
          </cell>
          <cell r="E9">
            <v>3</v>
          </cell>
          <cell r="F9">
            <v>5322428.4939999999</v>
          </cell>
          <cell r="G9">
            <v>0</v>
          </cell>
          <cell r="H9">
            <v>0</v>
          </cell>
          <cell r="I9">
            <v>1</v>
          </cell>
          <cell r="J9">
            <v>2777672.7349999999</v>
          </cell>
          <cell r="K9">
            <v>1</v>
          </cell>
          <cell r="L9">
            <v>667099.19999999995</v>
          </cell>
          <cell r="M9">
            <v>4</v>
          </cell>
          <cell r="N9">
            <v>1182.8</v>
          </cell>
        </row>
        <row r="11">
          <cell r="C11">
            <v>15</v>
          </cell>
          <cell r="D11">
            <v>17995979.686999999</v>
          </cell>
          <cell r="E11">
            <v>8</v>
          </cell>
          <cell r="F11">
            <v>7712361.6469999999</v>
          </cell>
          <cell r="G11">
            <v>0</v>
          </cell>
          <cell r="H11">
            <v>0</v>
          </cell>
          <cell r="I11">
            <v>2</v>
          </cell>
          <cell r="J11">
            <v>967985.77799999993</v>
          </cell>
          <cell r="K11">
            <v>0</v>
          </cell>
          <cell r="L11">
            <v>0</v>
          </cell>
          <cell r="M11">
            <v>1</v>
          </cell>
          <cell r="N11">
            <v>327635.59999999998</v>
          </cell>
        </row>
        <row r="12">
          <cell r="C12">
            <v>11</v>
          </cell>
          <cell r="D12">
            <v>8294689.5709999986</v>
          </cell>
          <cell r="E12">
            <v>4</v>
          </cell>
          <cell r="F12">
            <v>3813704.997</v>
          </cell>
          <cell r="G12">
            <v>0</v>
          </cell>
          <cell r="H12">
            <v>0</v>
          </cell>
          <cell r="I12">
            <v>1</v>
          </cell>
          <cell r="J12">
            <v>110370.02499999999</v>
          </cell>
          <cell r="K12">
            <v>0</v>
          </cell>
          <cell r="L12">
            <v>0</v>
          </cell>
          <cell r="M12">
            <v>1</v>
          </cell>
          <cell r="N12">
            <v>521475.821</v>
          </cell>
        </row>
        <row r="13">
          <cell r="C13">
            <v>18</v>
          </cell>
          <cell r="D13">
            <v>15945178.950000001</v>
          </cell>
          <cell r="E13">
            <v>5</v>
          </cell>
          <cell r="F13">
            <v>5070616.2879999997</v>
          </cell>
          <cell r="G13">
            <v>0</v>
          </cell>
          <cell r="H13">
            <v>0</v>
          </cell>
          <cell r="I13">
            <v>2</v>
          </cell>
          <cell r="J13">
            <v>1434606.2919999999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5">
          <cell r="C15">
            <v>13</v>
          </cell>
          <cell r="D15">
            <v>11350444.5</v>
          </cell>
          <cell r="E15">
            <v>1</v>
          </cell>
          <cell r="F15">
            <v>0</v>
          </cell>
          <cell r="G15">
            <v>1</v>
          </cell>
          <cell r="H15">
            <v>366895.68899999995</v>
          </cell>
          <cell r="I15">
            <v>5</v>
          </cell>
          <cell r="J15">
            <v>3504045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19</v>
          </cell>
          <cell r="D16">
            <v>14964197.156999998</v>
          </cell>
          <cell r="E16">
            <v>4</v>
          </cell>
          <cell r="F16">
            <v>3984202.66</v>
          </cell>
          <cell r="G16">
            <v>4</v>
          </cell>
          <cell r="H16">
            <v>5003244</v>
          </cell>
          <cell r="I16">
            <v>2</v>
          </cell>
          <cell r="J16">
            <v>945908.81600000011</v>
          </cell>
          <cell r="K16">
            <v>1</v>
          </cell>
          <cell r="L16">
            <v>227904.861</v>
          </cell>
          <cell r="M16">
            <v>0</v>
          </cell>
          <cell r="N16">
            <v>0</v>
          </cell>
        </row>
        <row r="17">
          <cell r="C17">
            <v>18</v>
          </cell>
          <cell r="D17">
            <v>20240103.169999998</v>
          </cell>
          <cell r="E17">
            <v>6</v>
          </cell>
          <cell r="F17">
            <v>4439252.4330000002</v>
          </cell>
          <cell r="G17">
            <v>2</v>
          </cell>
          <cell r="H17">
            <v>2295258.8840000001</v>
          </cell>
          <cell r="I17">
            <v>3</v>
          </cell>
          <cell r="J17">
            <v>4615374.3099999996</v>
          </cell>
          <cell r="K17">
            <v>2</v>
          </cell>
          <cell r="L17">
            <v>1715060</v>
          </cell>
          <cell r="M17">
            <v>0</v>
          </cell>
          <cell r="N17">
            <v>0</v>
          </cell>
        </row>
        <row r="19">
          <cell r="C19">
            <v>15</v>
          </cell>
          <cell r="D19">
            <v>19571271.167999998</v>
          </cell>
          <cell r="E19">
            <v>7</v>
          </cell>
          <cell r="F19">
            <v>5063061.1529999999</v>
          </cell>
          <cell r="G19">
            <v>2</v>
          </cell>
          <cell r="H19">
            <v>183382311.46599999</v>
          </cell>
          <cell r="I19">
            <v>1</v>
          </cell>
          <cell r="J19">
            <v>4737114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14</v>
          </cell>
          <cell r="D20">
            <v>12974458.469999999</v>
          </cell>
          <cell r="E20">
            <v>2</v>
          </cell>
          <cell r="F20">
            <v>3430179.14</v>
          </cell>
          <cell r="G20">
            <v>1</v>
          </cell>
          <cell r="H20">
            <v>1326063.693</v>
          </cell>
          <cell r="I20">
            <v>1</v>
          </cell>
          <cell r="J20">
            <v>147879.57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11</v>
          </cell>
          <cell r="D21">
            <v>7763423.1229999997</v>
          </cell>
          <cell r="E21">
            <v>10</v>
          </cell>
          <cell r="F21">
            <v>10117570.662</v>
          </cell>
          <cell r="G21">
            <v>5</v>
          </cell>
          <cell r="H21">
            <v>16866748.698999997</v>
          </cell>
          <cell r="I21">
            <v>4</v>
          </cell>
          <cell r="J21">
            <v>12330527.364999998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atistical Report Sheet"/>
      <sheetName val="Statisitcal Data"/>
      <sheetName val="Building Section Report Sheet"/>
    </sheetNames>
    <sheetDataSet>
      <sheetData sheetId="0" refreshError="1"/>
      <sheetData sheetId="1" refreshError="1"/>
      <sheetData sheetId="2">
        <row r="8">
          <cell r="C8">
            <v>14</v>
          </cell>
          <cell r="D8">
            <v>1580089.1400000001</v>
          </cell>
          <cell r="E8">
            <v>0</v>
          </cell>
          <cell r="F8">
            <v>0</v>
          </cell>
          <cell r="G8">
            <v>3</v>
          </cell>
          <cell r="H8">
            <v>1865815.1959999998</v>
          </cell>
          <cell r="I8">
            <v>1</v>
          </cell>
          <cell r="J8">
            <v>2654645.0559999999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14</v>
          </cell>
          <cell r="D9">
            <v>2244603.9840000002</v>
          </cell>
          <cell r="E9">
            <v>4</v>
          </cell>
          <cell r="F9">
            <v>1498800.1839999999</v>
          </cell>
          <cell r="G9">
            <v>0</v>
          </cell>
          <cell r="H9">
            <v>0</v>
          </cell>
          <cell r="I9">
            <v>1</v>
          </cell>
          <cell r="J9">
            <v>2265270</v>
          </cell>
          <cell r="K9">
            <v>0</v>
          </cell>
          <cell r="L9">
            <v>0</v>
          </cell>
          <cell r="M9">
            <v>3</v>
          </cell>
          <cell r="N9">
            <v>867134.1</v>
          </cell>
        </row>
        <row r="10">
          <cell r="C10">
            <v>23</v>
          </cell>
          <cell r="D10">
            <v>2045946.8399999999</v>
          </cell>
          <cell r="E10">
            <v>1</v>
          </cell>
          <cell r="F10">
            <v>1334211.2</v>
          </cell>
          <cell r="G10">
            <v>1</v>
          </cell>
          <cell r="H10">
            <v>1786139.5999999999</v>
          </cell>
          <cell r="I10">
            <v>3</v>
          </cell>
          <cell r="J10">
            <v>5508686.3999999994</v>
          </cell>
          <cell r="K10">
            <v>0</v>
          </cell>
          <cell r="L10">
            <v>0</v>
          </cell>
          <cell r="M10">
            <v>1</v>
          </cell>
          <cell r="N10">
            <v>0</v>
          </cell>
        </row>
        <row r="12">
          <cell r="C12">
            <v>14</v>
          </cell>
          <cell r="D12">
            <v>1983401</v>
          </cell>
          <cell r="E12">
            <v>8</v>
          </cell>
          <cell r="F12">
            <v>4892928.7960000001</v>
          </cell>
          <cell r="G12">
            <v>3</v>
          </cell>
          <cell r="H12">
            <v>1473461.0520000001</v>
          </cell>
          <cell r="I12">
            <v>1</v>
          </cell>
          <cell r="J12">
            <v>445276.10399999999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14</v>
          </cell>
          <cell r="D13">
            <v>2045946.8399999999</v>
          </cell>
          <cell r="E13">
            <v>4</v>
          </cell>
          <cell r="F13">
            <v>1334211.2</v>
          </cell>
          <cell r="G13">
            <v>1</v>
          </cell>
          <cell r="H13">
            <v>1786139.5999999999</v>
          </cell>
          <cell r="I13">
            <v>3</v>
          </cell>
          <cell r="J13">
            <v>5508686.3999999994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13</v>
          </cell>
          <cell r="D14">
            <v>1911936.656</v>
          </cell>
          <cell r="E14">
            <v>2</v>
          </cell>
          <cell r="F14">
            <v>362525.74400000001</v>
          </cell>
          <cell r="G14">
            <v>0</v>
          </cell>
          <cell r="H14">
            <v>0</v>
          </cell>
          <cell r="I14">
            <v>3</v>
          </cell>
          <cell r="J14">
            <v>1315451.2</v>
          </cell>
          <cell r="K14">
            <v>0</v>
          </cell>
          <cell r="L14">
            <v>0</v>
          </cell>
          <cell r="M14">
            <v>1</v>
          </cell>
          <cell r="N14">
            <v>1040804.7999999999</v>
          </cell>
        </row>
        <row r="16">
          <cell r="C16">
            <v>12</v>
          </cell>
          <cell r="D16">
            <v>2314588.1639999999</v>
          </cell>
          <cell r="E16">
            <v>4</v>
          </cell>
          <cell r="F16">
            <v>1914399.8439999998</v>
          </cell>
          <cell r="G16">
            <v>1</v>
          </cell>
          <cell r="H16">
            <v>837277.56</v>
          </cell>
          <cell r="I16">
            <v>2</v>
          </cell>
          <cell r="J16">
            <v>1897885.416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13</v>
          </cell>
          <cell r="D17">
            <v>2446249.5959999999</v>
          </cell>
          <cell r="E17">
            <v>1</v>
          </cell>
          <cell r="F17">
            <v>1020335.7640000001</v>
          </cell>
          <cell r="G17">
            <v>4</v>
          </cell>
          <cell r="H17">
            <v>902402.9</v>
          </cell>
          <cell r="I17">
            <v>2</v>
          </cell>
          <cell r="J17">
            <v>892976</v>
          </cell>
          <cell r="K17">
            <v>1</v>
          </cell>
          <cell r="L17">
            <v>140700</v>
          </cell>
          <cell r="M17">
            <v>0</v>
          </cell>
          <cell r="N17">
            <v>0</v>
          </cell>
        </row>
        <row r="18">
          <cell r="C18">
            <v>17</v>
          </cell>
          <cell r="D18">
            <v>2618408.2400000002</v>
          </cell>
          <cell r="E18">
            <v>4</v>
          </cell>
          <cell r="F18">
            <v>1328536.2999999998</v>
          </cell>
          <cell r="G18">
            <v>0</v>
          </cell>
          <cell r="H18">
            <v>0</v>
          </cell>
          <cell r="I18">
            <v>2</v>
          </cell>
          <cell r="J18">
            <v>745710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0">
          <cell r="C20">
            <v>18</v>
          </cell>
          <cell r="D20">
            <v>2043485.5279999999</v>
          </cell>
          <cell r="E20">
            <v>13</v>
          </cell>
          <cell r="F20">
            <v>1817007.304</v>
          </cell>
          <cell r="G20">
            <v>1</v>
          </cell>
          <cell r="H20">
            <v>929933.2</v>
          </cell>
          <cell r="I20">
            <v>1</v>
          </cell>
          <cell r="J20">
            <v>539912.79999999993</v>
          </cell>
          <cell r="K20">
            <v>0</v>
          </cell>
          <cell r="L20">
            <v>0</v>
          </cell>
          <cell r="M20">
            <v>1</v>
          </cell>
          <cell r="N20">
            <v>3887259.6</v>
          </cell>
        </row>
        <row r="21">
          <cell r="C21">
            <v>9</v>
          </cell>
          <cell r="D21">
            <v>1851236.7999999998</v>
          </cell>
          <cell r="E21">
            <v>3</v>
          </cell>
          <cell r="F21">
            <v>2280653.1999999997</v>
          </cell>
          <cell r="G21">
            <v>2</v>
          </cell>
          <cell r="H21">
            <v>839697.6</v>
          </cell>
          <cell r="I21">
            <v>1</v>
          </cell>
          <cell r="J21">
            <v>522248.38400000002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14</v>
          </cell>
          <cell r="D22">
            <v>1977491.6</v>
          </cell>
          <cell r="E22">
            <v>3</v>
          </cell>
          <cell r="F22">
            <v>892976</v>
          </cell>
          <cell r="G22">
            <v>1</v>
          </cell>
          <cell r="H22">
            <v>1008162.4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</v>
          </cell>
          <cell r="N22">
            <v>895602.39999999991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ing statistics 2007"/>
      <sheetName val="Satistical Report Sheet"/>
      <sheetName val="Statisitcal Data"/>
      <sheetName val="Building Section Report Sheet"/>
    </sheetNames>
    <sheetDataSet>
      <sheetData sheetId="0" refreshError="1"/>
      <sheetData sheetId="1"/>
      <sheetData sheetId="2">
        <row r="8">
          <cell r="C8">
            <v>12</v>
          </cell>
          <cell r="D8">
            <v>1449000</v>
          </cell>
          <cell r="E8">
            <v>10</v>
          </cell>
          <cell r="F8">
            <v>1144041</v>
          </cell>
          <cell r="G8">
            <v>1</v>
          </cell>
          <cell r="H8">
            <v>7338600</v>
          </cell>
          <cell r="I8">
            <v>1</v>
          </cell>
          <cell r="J8">
            <v>6266700</v>
          </cell>
          <cell r="K8">
            <v>2</v>
          </cell>
          <cell r="L8">
            <v>1181250</v>
          </cell>
          <cell r="M8">
            <v>1</v>
          </cell>
          <cell r="N8">
            <v>18150</v>
          </cell>
        </row>
        <row r="9">
          <cell r="C9">
            <v>12</v>
          </cell>
          <cell r="D9">
            <v>1859043</v>
          </cell>
          <cell r="E9">
            <v>4</v>
          </cell>
          <cell r="F9">
            <v>818100</v>
          </cell>
          <cell r="G9">
            <v>1</v>
          </cell>
          <cell r="H9">
            <v>7482300</v>
          </cell>
          <cell r="I9">
            <v>2</v>
          </cell>
          <cell r="J9">
            <v>1120500</v>
          </cell>
          <cell r="K9">
            <v>0</v>
          </cell>
          <cell r="L9">
            <v>0</v>
          </cell>
          <cell r="M9">
            <v>1</v>
          </cell>
          <cell r="N9">
            <v>1111500</v>
          </cell>
        </row>
        <row r="10">
          <cell r="C10">
            <v>4</v>
          </cell>
          <cell r="D10">
            <v>1764600</v>
          </cell>
          <cell r="E10">
            <v>1</v>
          </cell>
          <cell r="F10">
            <v>1760100</v>
          </cell>
          <cell r="G10">
            <v>1</v>
          </cell>
          <cell r="H10">
            <v>142335000</v>
          </cell>
          <cell r="I10">
            <v>3</v>
          </cell>
          <cell r="J10">
            <v>2950500</v>
          </cell>
          <cell r="K10">
            <v>0</v>
          </cell>
          <cell r="L10">
            <v>0</v>
          </cell>
          <cell r="M10">
            <v>1</v>
          </cell>
          <cell r="N10">
            <v>60000</v>
          </cell>
        </row>
        <row r="12">
          <cell r="C12">
            <v>9</v>
          </cell>
          <cell r="D12">
            <v>1221600</v>
          </cell>
          <cell r="E12">
            <v>9</v>
          </cell>
          <cell r="F12">
            <v>1433250</v>
          </cell>
          <cell r="G12">
            <v>1</v>
          </cell>
          <cell r="H12">
            <v>10125000</v>
          </cell>
          <cell r="I12">
            <v>2</v>
          </cell>
          <cell r="J12">
            <v>1591650</v>
          </cell>
          <cell r="K12">
            <v>0</v>
          </cell>
          <cell r="L12">
            <v>0</v>
          </cell>
          <cell r="M12">
            <v>1</v>
          </cell>
          <cell r="N12">
            <v>660600</v>
          </cell>
        </row>
        <row r="13">
          <cell r="C13">
            <v>26</v>
          </cell>
          <cell r="D13">
            <v>1764600</v>
          </cell>
          <cell r="E13">
            <v>17</v>
          </cell>
          <cell r="F13">
            <v>1760100</v>
          </cell>
          <cell r="G13">
            <v>1</v>
          </cell>
          <cell r="H13">
            <v>142335000</v>
          </cell>
          <cell r="I13">
            <v>2</v>
          </cell>
          <cell r="J13">
            <v>2950500</v>
          </cell>
          <cell r="K13">
            <v>0</v>
          </cell>
          <cell r="L13">
            <v>0</v>
          </cell>
          <cell r="M13">
            <v>1</v>
          </cell>
          <cell r="N13">
            <v>60000</v>
          </cell>
        </row>
        <row r="14">
          <cell r="C14">
            <v>17</v>
          </cell>
          <cell r="D14">
            <v>1909500</v>
          </cell>
          <cell r="E14">
            <v>6</v>
          </cell>
          <cell r="F14">
            <v>1062600</v>
          </cell>
          <cell r="G14">
            <v>0</v>
          </cell>
          <cell r="H14">
            <v>0</v>
          </cell>
          <cell r="I14">
            <v>3</v>
          </cell>
          <cell r="J14">
            <v>6656899.5</v>
          </cell>
          <cell r="K14">
            <v>0</v>
          </cell>
          <cell r="L14">
            <v>0</v>
          </cell>
          <cell r="M14">
            <v>3</v>
          </cell>
          <cell r="N14">
            <v>1712250</v>
          </cell>
        </row>
        <row r="16">
          <cell r="C16">
            <v>18</v>
          </cell>
          <cell r="D16">
            <v>1431600</v>
          </cell>
          <cell r="E16">
            <v>11</v>
          </cell>
          <cell r="F16">
            <v>1041750</v>
          </cell>
          <cell r="G16">
            <v>1</v>
          </cell>
          <cell r="H16">
            <v>16289250</v>
          </cell>
          <cell r="I16">
            <v>1</v>
          </cell>
          <cell r="J16">
            <v>244200</v>
          </cell>
          <cell r="K16">
            <v>0</v>
          </cell>
          <cell r="L16">
            <v>0</v>
          </cell>
          <cell r="M16">
            <v>1</v>
          </cell>
          <cell r="N16">
            <v>421500</v>
          </cell>
        </row>
        <row r="17">
          <cell r="C17">
            <v>13</v>
          </cell>
          <cell r="D17">
            <v>1706700</v>
          </cell>
          <cell r="E17">
            <v>5</v>
          </cell>
          <cell r="F17">
            <v>641250</v>
          </cell>
          <cell r="G17">
            <v>0</v>
          </cell>
          <cell r="H17">
            <v>0</v>
          </cell>
          <cell r="I17">
            <v>1</v>
          </cell>
          <cell r="J17">
            <v>557550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13</v>
          </cell>
          <cell r="D18">
            <v>1218150</v>
          </cell>
          <cell r="E18">
            <v>5</v>
          </cell>
          <cell r="F18">
            <v>1140450</v>
          </cell>
          <cell r="G18">
            <v>0</v>
          </cell>
          <cell r="H18">
            <v>0</v>
          </cell>
          <cell r="I18">
            <v>1</v>
          </cell>
          <cell r="J18">
            <v>105300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0">
          <cell r="C20">
            <v>25</v>
          </cell>
          <cell r="D20">
            <v>1456425</v>
          </cell>
          <cell r="E20">
            <v>17</v>
          </cell>
          <cell r="F20">
            <v>1165200</v>
          </cell>
          <cell r="G20">
            <v>2</v>
          </cell>
          <cell r="H20">
            <v>900000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18</v>
          </cell>
          <cell r="D21">
            <v>1801050</v>
          </cell>
          <cell r="E21">
            <v>12</v>
          </cell>
          <cell r="F21">
            <v>1309350</v>
          </cell>
          <cell r="G21">
            <v>0</v>
          </cell>
          <cell r="H21">
            <v>0</v>
          </cell>
          <cell r="I21">
            <v>1</v>
          </cell>
          <cell r="J21">
            <v>816000</v>
          </cell>
          <cell r="K21">
            <v>0</v>
          </cell>
          <cell r="L21">
            <v>0</v>
          </cell>
          <cell r="M21">
            <v>1</v>
          </cell>
          <cell r="N21">
            <v>545250</v>
          </cell>
        </row>
        <row r="22">
          <cell r="C22">
            <v>17</v>
          </cell>
          <cell r="D22">
            <v>2138550</v>
          </cell>
          <cell r="E22">
            <v>3</v>
          </cell>
          <cell r="F22">
            <v>2353150.5</v>
          </cell>
          <cell r="G22">
            <v>1</v>
          </cell>
          <cell r="H22">
            <v>1320000</v>
          </cell>
          <cell r="I22">
            <v>2</v>
          </cell>
          <cell r="J22">
            <v>378600</v>
          </cell>
          <cell r="K22">
            <v>0</v>
          </cell>
          <cell r="L22">
            <v>0</v>
          </cell>
          <cell r="M22">
            <v>2</v>
          </cell>
          <cell r="N22">
            <v>716100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ing statistics 2006"/>
      <sheetName val="Building statistics 2007"/>
      <sheetName val="Building Statistics 2008"/>
      <sheetName val="Satistical Report Sheet"/>
      <sheetName val="Statisitcal Data"/>
      <sheetName val="Building Section Report 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C8">
            <v>14</v>
          </cell>
          <cell r="D8">
            <v>1803187.5</v>
          </cell>
          <cell r="E8">
            <v>3</v>
          </cell>
          <cell r="F8">
            <v>1710046.5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14</v>
          </cell>
          <cell r="D9">
            <v>1214515.5</v>
          </cell>
          <cell r="E9">
            <v>1</v>
          </cell>
          <cell r="F9">
            <v>306900</v>
          </cell>
          <cell r="G9">
            <v>0</v>
          </cell>
          <cell r="H9">
            <v>0</v>
          </cell>
          <cell r="I9">
            <v>1</v>
          </cell>
          <cell r="J9">
            <v>173067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11</v>
          </cell>
          <cell r="D10">
            <v>795000</v>
          </cell>
          <cell r="E10">
            <v>7</v>
          </cell>
          <cell r="F10">
            <v>795000</v>
          </cell>
          <cell r="G10">
            <v>0</v>
          </cell>
          <cell r="H10">
            <v>1012200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  <cell r="N10">
            <v>420000</v>
          </cell>
        </row>
        <row r="12">
          <cell r="C12">
            <v>12</v>
          </cell>
          <cell r="D12">
            <v>1653571.5</v>
          </cell>
          <cell r="E12">
            <v>1</v>
          </cell>
          <cell r="F12">
            <v>1653571.5</v>
          </cell>
          <cell r="G12">
            <v>1</v>
          </cell>
          <cell r="H12">
            <v>749665.50000000012</v>
          </cell>
          <cell r="I12">
            <v>1</v>
          </cell>
          <cell r="J12">
            <v>1042800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9</v>
          </cell>
          <cell r="D13">
            <v>795000</v>
          </cell>
          <cell r="E13">
            <v>8</v>
          </cell>
          <cell r="F13">
            <v>1204650</v>
          </cell>
          <cell r="G13">
            <v>3</v>
          </cell>
          <cell r="H13">
            <v>1012200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3</v>
          </cell>
          <cell r="N13">
            <v>420000</v>
          </cell>
        </row>
        <row r="14">
          <cell r="C14">
            <v>11</v>
          </cell>
          <cell r="D14">
            <v>2074929</v>
          </cell>
          <cell r="E14">
            <v>5</v>
          </cell>
          <cell r="F14">
            <v>961950</v>
          </cell>
          <cell r="G14">
            <v>1</v>
          </cell>
          <cell r="H14">
            <v>3594000</v>
          </cell>
          <cell r="I14">
            <v>1</v>
          </cell>
          <cell r="J14">
            <v>359625</v>
          </cell>
          <cell r="K14">
            <v>0</v>
          </cell>
          <cell r="L14">
            <v>0</v>
          </cell>
          <cell r="M14">
            <v>1</v>
          </cell>
          <cell r="N14">
            <v>2062950</v>
          </cell>
        </row>
        <row r="16">
          <cell r="C16">
            <v>20</v>
          </cell>
          <cell r="D16">
            <v>1937700</v>
          </cell>
          <cell r="E16">
            <v>10</v>
          </cell>
          <cell r="F16">
            <v>1937700</v>
          </cell>
          <cell r="G16">
            <v>1</v>
          </cell>
          <cell r="H16">
            <v>582300</v>
          </cell>
          <cell r="I16">
            <v>1</v>
          </cell>
          <cell r="J16">
            <v>244200</v>
          </cell>
          <cell r="K16">
            <v>0</v>
          </cell>
          <cell r="L16">
            <v>0</v>
          </cell>
          <cell r="M16">
            <v>1</v>
          </cell>
          <cell r="N16">
            <v>421500</v>
          </cell>
        </row>
        <row r="17">
          <cell r="C17">
            <v>11</v>
          </cell>
          <cell r="D17">
            <v>1434750</v>
          </cell>
          <cell r="E17">
            <v>6</v>
          </cell>
          <cell r="F17">
            <v>939300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14</v>
          </cell>
          <cell r="D18">
            <v>1717950</v>
          </cell>
          <cell r="E18">
            <v>9</v>
          </cell>
          <cell r="F18">
            <v>1680420</v>
          </cell>
          <cell r="G18">
            <v>1</v>
          </cell>
          <cell r="H18">
            <v>29475900</v>
          </cell>
          <cell r="I18">
            <v>1</v>
          </cell>
          <cell r="J18">
            <v>105300</v>
          </cell>
          <cell r="K18">
            <v>0</v>
          </cell>
          <cell r="L18">
            <v>0</v>
          </cell>
          <cell r="M18">
            <v>2</v>
          </cell>
          <cell r="N18">
            <v>798150</v>
          </cell>
        </row>
        <row r="20">
          <cell r="C20">
            <v>12</v>
          </cell>
          <cell r="D20">
            <v>1128300</v>
          </cell>
          <cell r="E20">
            <v>6</v>
          </cell>
          <cell r="F20">
            <v>870900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1431000</v>
          </cell>
        </row>
        <row r="21">
          <cell r="C21">
            <v>17</v>
          </cell>
          <cell r="D21">
            <v>1409100</v>
          </cell>
          <cell r="E21">
            <v>10</v>
          </cell>
          <cell r="F21">
            <v>858613.5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5</v>
          </cell>
          <cell r="D22">
            <v>5474850</v>
          </cell>
          <cell r="E22">
            <v>2</v>
          </cell>
          <cell r="F22">
            <v>962550</v>
          </cell>
          <cell r="G22">
            <v>1</v>
          </cell>
          <cell r="H22">
            <v>1320000</v>
          </cell>
          <cell r="I22">
            <v>2</v>
          </cell>
          <cell r="J22">
            <v>378600</v>
          </cell>
          <cell r="K22">
            <v>0</v>
          </cell>
          <cell r="L22">
            <v>0</v>
          </cell>
          <cell r="M22">
            <v>2</v>
          </cell>
          <cell r="N22">
            <v>716100</v>
          </cell>
        </row>
      </sheetData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ing statistics 2007"/>
      <sheetName val="Building statistics 2006"/>
      <sheetName val="Building Statics 2008"/>
      <sheetName val="Building Statics 2009"/>
      <sheetName val="Statistical Report Sheet"/>
      <sheetName val="Statistical Data"/>
      <sheetName val="Building Section Report Sheet"/>
    </sheetNames>
    <sheetDataSet>
      <sheetData sheetId="0"/>
      <sheetData sheetId="1"/>
      <sheetData sheetId="2"/>
      <sheetData sheetId="3">
        <row r="14">
          <cell r="C14">
            <v>1104</v>
          </cell>
        </row>
      </sheetData>
      <sheetData sheetId="4"/>
      <sheetData sheetId="5">
        <row r="8">
          <cell r="C8">
            <v>18</v>
          </cell>
          <cell r="D8">
            <v>1807050</v>
          </cell>
          <cell r="E8">
            <v>12</v>
          </cell>
          <cell r="F8">
            <v>1788600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1</v>
          </cell>
          <cell r="N8">
            <v>4872900</v>
          </cell>
        </row>
        <row r="9">
          <cell r="C9">
            <v>11</v>
          </cell>
          <cell r="D9">
            <v>1393800</v>
          </cell>
          <cell r="E9">
            <v>4</v>
          </cell>
          <cell r="F9">
            <v>1269900</v>
          </cell>
          <cell r="G9">
            <v>2</v>
          </cell>
          <cell r="H9">
            <v>721800</v>
          </cell>
          <cell r="I9">
            <v>1</v>
          </cell>
          <cell r="J9">
            <v>337050</v>
          </cell>
          <cell r="K9">
            <v>0</v>
          </cell>
          <cell r="L9">
            <v>0</v>
          </cell>
          <cell r="M9">
            <v>3</v>
          </cell>
          <cell r="N9">
            <v>2044050</v>
          </cell>
        </row>
        <row r="10">
          <cell r="C10">
            <v>6</v>
          </cell>
          <cell r="D10">
            <v>1242450</v>
          </cell>
          <cell r="E10">
            <v>4</v>
          </cell>
          <cell r="F10">
            <v>1705950</v>
          </cell>
          <cell r="G10">
            <v>1</v>
          </cell>
          <cell r="H10">
            <v>802050</v>
          </cell>
          <cell r="I10">
            <v>1</v>
          </cell>
          <cell r="J10">
            <v>875700</v>
          </cell>
          <cell r="K10">
            <v>0</v>
          </cell>
          <cell r="L10">
            <v>0</v>
          </cell>
          <cell r="M10">
            <v>1</v>
          </cell>
          <cell r="N10">
            <v>183600</v>
          </cell>
        </row>
        <row r="12">
          <cell r="C12">
            <v>4</v>
          </cell>
          <cell r="D12">
            <v>1654650</v>
          </cell>
          <cell r="E12">
            <v>6</v>
          </cell>
          <cell r="F12">
            <v>2133300</v>
          </cell>
          <cell r="G12">
            <v>0</v>
          </cell>
          <cell r="H12">
            <v>0</v>
          </cell>
          <cell r="I12">
            <v>2</v>
          </cell>
          <cell r="J12">
            <v>875700</v>
          </cell>
          <cell r="K12">
            <v>0</v>
          </cell>
          <cell r="L12">
            <v>0</v>
          </cell>
          <cell r="M12">
            <v>2</v>
          </cell>
          <cell r="N12">
            <v>183600</v>
          </cell>
        </row>
        <row r="13">
          <cell r="C13">
            <v>12</v>
          </cell>
          <cell r="D13">
            <v>1619700</v>
          </cell>
          <cell r="E13">
            <v>8</v>
          </cell>
          <cell r="F13">
            <v>1315050</v>
          </cell>
          <cell r="G13">
            <v>0</v>
          </cell>
          <cell r="H13">
            <v>0</v>
          </cell>
          <cell r="I13">
            <v>1</v>
          </cell>
          <cell r="J13">
            <v>806400</v>
          </cell>
          <cell r="K13">
            <v>0</v>
          </cell>
          <cell r="L13">
            <v>0</v>
          </cell>
          <cell r="M13">
            <v>2</v>
          </cell>
          <cell r="N13">
            <v>1917000</v>
          </cell>
        </row>
        <row r="14">
          <cell r="C14">
            <v>10</v>
          </cell>
          <cell r="D14">
            <v>1686999</v>
          </cell>
          <cell r="E14">
            <v>3</v>
          </cell>
          <cell r="F14">
            <v>765900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2</v>
          </cell>
          <cell r="N14">
            <v>7395000</v>
          </cell>
        </row>
        <row r="16">
          <cell r="C16">
            <v>8</v>
          </cell>
          <cell r="D16">
            <v>1042500</v>
          </cell>
          <cell r="E16">
            <v>3</v>
          </cell>
          <cell r="F16">
            <v>2400000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24000</v>
          </cell>
        </row>
        <row r="17">
          <cell r="C17">
            <v>12</v>
          </cell>
          <cell r="D17">
            <v>1292850</v>
          </cell>
          <cell r="E17">
            <v>2</v>
          </cell>
          <cell r="F17">
            <v>932550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8</v>
          </cell>
          <cell r="D18">
            <v>1118700</v>
          </cell>
          <cell r="E18">
            <v>4</v>
          </cell>
          <cell r="F18">
            <v>1696350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0">
          <cell r="C20">
            <v>3</v>
          </cell>
          <cell r="D20">
            <v>1248150</v>
          </cell>
          <cell r="E20">
            <v>1</v>
          </cell>
          <cell r="F20">
            <v>499200</v>
          </cell>
          <cell r="G20">
            <v>0</v>
          </cell>
          <cell r="H20">
            <v>0</v>
          </cell>
          <cell r="I20">
            <v>1</v>
          </cell>
          <cell r="J20">
            <v>229500</v>
          </cell>
          <cell r="K20">
            <v>1</v>
          </cell>
          <cell r="L20">
            <v>2575200</v>
          </cell>
          <cell r="M20">
            <v>0</v>
          </cell>
          <cell r="N20">
            <v>0</v>
          </cell>
        </row>
        <row r="21">
          <cell r="C21">
            <v>5</v>
          </cell>
          <cell r="D21">
            <v>1557600</v>
          </cell>
          <cell r="E21">
            <v>6</v>
          </cell>
          <cell r="F21">
            <v>1183500</v>
          </cell>
          <cell r="G21">
            <v>0</v>
          </cell>
          <cell r="H21">
            <v>0</v>
          </cell>
          <cell r="I21">
            <v>2</v>
          </cell>
          <cell r="J21">
            <v>5382000</v>
          </cell>
          <cell r="K21">
            <v>0</v>
          </cell>
          <cell r="L21">
            <v>0</v>
          </cell>
          <cell r="M21">
            <v>2</v>
          </cell>
          <cell r="N21">
            <v>1731600</v>
          </cell>
        </row>
        <row r="22">
          <cell r="C22">
            <v>11</v>
          </cell>
          <cell r="D22">
            <v>1263600</v>
          </cell>
          <cell r="E22">
            <v>1</v>
          </cell>
          <cell r="F22">
            <v>337050</v>
          </cell>
          <cell r="G22">
            <v>1</v>
          </cell>
          <cell r="H22">
            <v>2330850</v>
          </cell>
          <cell r="I22">
            <v>2</v>
          </cell>
          <cell r="J22">
            <v>1334250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V40"/>
  <sheetViews>
    <sheetView tabSelected="1" workbookViewId="0">
      <selection activeCell="B29" sqref="B29:C29"/>
    </sheetView>
  </sheetViews>
  <sheetFormatPr defaultColWidth="0" defaultRowHeight="12.75" x14ac:dyDescent="0.2"/>
  <cols>
    <col min="1" max="1" width="1.140625" style="2" customWidth="1"/>
    <col min="2" max="2" width="6.85546875" style="2" customWidth="1"/>
    <col min="3" max="11" width="9.140625" style="2" customWidth="1"/>
    <col min="12" max="12" width="11.42578125" style="2" customWidth="1"/>
    <col min="13" max="13" width="39.7109375" style="2" hidden="1" customWidth="1"/>
    <col min="14" max="14" width="4.28515625" style="2" hidden="1" customWidth="1"/>
    <col min="15" max="256" width="0" style="2" hidden="1"/>
  </cols>
  <sheetData>
    <row r="2" spans="1:256" ht="15" x14ac:dyDescent="0.25">
      <c r="A2"/>
      <c r="B2" s="155" t="str">
        <f ca="1">MID(CELL("filename",A1),FIND("]",CELL("filename",A1))+1,255)</f>
        <v>Table of Contents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4" spans="1:256" x14ac:dyDescent="0.2">
      <c r="B4" s="1" t="s">
        <v>72</v>
      </c>
      <c r="C4" s="1"/>
    </row>
    <row r="5" spans="1:256" x14ac:dyDescent="0.2">
      <c r="B5" s="1" t="s">
        <v>73</v>
      </c>
      <c r="C5" s="1"/>
    </row>
    <row r="6" spans="1:256" x14ac:dyDescent="0.2">
      <c r="A6"/>
      <c r="B6" s="121" t="s">
        <v>74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x14ac:dyDescent="0.2">
      <c r="A7"/>
      <c r="C7" s="13"/>
      <c r="D7" s="13"/>
      <c r="E7" s="13"/>
      <c r="F7" s="13"/>
      <c r="G7" s="13"/>
      <c r="H7" s="13"/>
      <c r="I7" s="13"/>
      <c r="J7" s="13"/>
      <c r="K7" s="13"/>
      <c r="L7" s="13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x14ac:dyDescent="0.2">
      <c r="A8"/>
      <c r="B8" s="122" t="s">
        <v>52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x14ac:dyDescent="0.2">
      <c r="A9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x14ac:dyDescent="0.2">
      <c r="A10"/>
      <c r="B10" s="128" t="str">
        <f ca="1">+RIGHT('Table 2.4.3-B1'!$B$2, LEN('Table 2.4.3-B1'!$B$2)-6)</f>
        <v>2.4.3-B1</v>
      </c>
      <c r="C10" s="179" t="str">
        <f>+'Table 2.4.3-B1'!$B$5&amp;" by "&amp;LOWER('Table 2.4.3-B1'!$B$6&amp;", "&amp;'Table 2.4.3-B1'!$B$7&amp;" "&amp;"")</f>
        <v xml:space="preserve">Building permits issued by year: 1995 - 2017, building type, area (sq. ft), in units and percentage (%) </v>
      </c>
      <c r="D10" s="179"/>
      <c r="E10" s="179"/>
      <c r="F10" s="179"/>
      <c r="G10" s="179"/>
      <c r="H10" s="179"/>
      <c r="I10" s="179"/>
      <c r="J10" s="179"/>
      <c r="K10" s="179"/>
      <c r="L10" s="179"/>
      <c r="M10"/>
      <c r="N10" s="125"/>
      <c r="O10" s="126"/>
      <c r="P10" s="126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4.75" customHeight="1" x14ac:dyDescent="0.2">
      <c r="A11"/>
      <c r="B11" s="175" t="str">
        <f ca="1">+RIGHT('Table 2.4.3-B2'!$B$2, LEN('Table 2.4.3-B2'!$B$2)-6)</f>
        <v>2.4.3-B2</v>
      </c>
      <c r="C11" s="178" t="str">
        <f>+'Table 2.4.3-B2'!$B$5&amp;" by "&amp;LOWER('Table 2.4.3-B2'!$B$6&amp;", "&amp;'Table 2.4.3-B2'!$B$7&amp;" "&amp;"")</f>
        <v xml:space="preserve">Building permits issued by month: 2002 - 2003, building type, count, value, percentage change, in units, value (xcd) and percentage (%) </v>
      </c>
      <c r="D11" s="178"/>
      <c r="E11" s="178"/>
      <c r="F11" s="178"/>
      <c r="G11" s="178"/>
      <c r="H11" s="178"/>
      <c r="I11" s="178"/>
      <c r="J11" s="178"/>
      <c r="K11" s="178"/>
      <c r="L11" s="178"/>
      <c r="M11"/>
      <c r="N11" s="125"/>
      <c r="O11" s="125"/>
      <c r="P11" s="125"/>
      <c r="Q11" s="125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4.75" customHeight="1" x14ac:dyDescent="0.2">
      <c r="A12"/>
      <c r="B12" s="175" t="str">
        <f ca="1">+RIGHT('Table 2.4.3-B3'!$B$2, LEN('Table 2.4.3-B3'!$B$2)-6)</f>
        <v>2.4.3-B3</v>
      </c>
      <c r="C12" s="178" t="str">
        <f>+'Table 2.4.3-B3'!$B$5&amp;" by "&amp;LOWER('Table 2.4.3-B3'!$B$6&amp;", "&amp;'Table 2.4.3-B3'!$B$7&amp;" "&amp;"")</f>
        <v xml:space="preserve">Building permits issued by month: 2004 - 2005, building type, count, value, percentage change, in units, value (xcd) and percentage (%) </v>
      </c>
      <c r="D12" s="178"/>
      <c r="E12" s="178"/>
      <c r="F12" s="178"/>
      <c r="G12" s="178"/>
      <c r="H12" s="178"/>
      <c r="I12" s="178"/>
      <c r="J12" s="178"/>
      <c r="K12" s="178"/>
      <c r="L12" s="178"/>
      <c r="M12"/>
      <c r="N12" s="125"/>
      <c r="O12" s="125"/>
      <c r="P12" s="125"/>
      <c r="Q12" s="125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4.75" customHeight="1" x14ac:dyDescent="0.2">
      <c r="A13"/>
      <c r="B13" s="175" t="str">
        <f ca="1">+RIGHT('Table 2.4.3-B4'!$B$2, LEN('Table 2.4.3-B4'!$B$2)-6)</f>
        <v>2.4.3-B4</v>
      </c>
      <c r="C13" s="178" t="str">
        <f>+'Table 2.4.3-B4'!$B$5&amp;" by "&amp;LOWER('Table 2.4.3-B4'!$B$6&amp;", "&amp;'Table 2.4.3-B4'!$B$7&amp;" "&amp;"")</f>
        <v xml:space="preserve">Building permits issued by month: 2006 - 2007, building type, count, value, percentage change, in units, value (xcd) and percentage (%) </v>
      </c>
      <c r="D13" s="178"/>
      <c r="E13" s="178"/>
      <c r="F13" s="178"/>
      <c r="G13" s="178"/>
      <c r="H13" s="178"/>
      <c r="I13" s="178"/>
      <c r="J13" s="178"/>
      <c r="K13" s="178"/>
      <c r="L13" s="178"/>
      <c r="M13"/>
      <c r="N13" s="125"/>
      <c r="O13" s="125"/>
      <c r="P13" s="125"/>
      <c r="Q13" s="125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4.75" customHeight="1" x14ac:dyDescent="0.2">
      <c r="A14"/>
      <c r="B14" s="175" t="str">
        <f ca="1">+RIGHT('Table 2.4.3-B5'!$B$2, LEN('Table 2.4.3-B5'!$B$2)-6)</f>
        <v>2.4.3-B5</v>
      </c>
      <c r="C14" s="178" t="str">
        <f>+'Table 2.4.3-B5'!$B$5&amp;" by "&amp;LOWER('Table 2.4.3-B5'!$B$6&amp;", "&amp;'Table 2.4.3-B5'!$B$7&amp;" "&amp;"")</f>
        <v xml:space="preserve">Building permits issued by month: 2008 - 2009, building type, count, value, percentage change, in units, value (xcd) and percentage (%) </v>
      </c>
      <c r="D14" s="178"/>
      <c r="E14" s="178"/>
      <c r="F14" s="178"/>
      <c r="G14" s="178"/>
      <c r="H14" s="178"/>
      <c r="I14" s="178"/>
      <c r="J14" s="178"/>
      <c r="K14" s="178"/>
      <c r="L14" s="178"/>
      <c r="M14"/>
      <c r="N14" s="125"/>
      <c r="O14" s="125"/>
      <c r="P14" s="125"/>
      <c r="Q14" s="12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4.75" customHeight="1" x14ac:dyDescent="0.2">
      <c r="A15"/>
      <c r="B15" s="175" t="str">
        <f ca="1">+RIGHT('Table 2.4.3-B6'!$B$2, LEN('Table 2.4.3-B6'!$B$2)-6)</f>
        <v>2.4.3-B6</v>
      </c>
      <c r="C15" s="178" t="str">
        <f>+'Table 2.4.3-B6'!$B$5&amp;" by "&amp;LOWER('Table 2.4.3-B6'!$B$6&amp;", "&amp;'Table 2.4.3-B6'!$B$7&amp;" "&amp;"")</f>
        <v xml:space="preserve">Building permits issued by month: 2010 - 2011, building type, count, value, percentage change, in units, value (xcd) and percentage (%) </v>
      </c>
      <c r="D15" s="178"/>
      <c r="E15" s="178"/>
      <c r="F15" s="178"/>
      <c r="G15" s="178"/>
      <c r="H15" s="178"/>
      <c r="I15" s="178"/>
      <c r="J15" s="178"/>
      <c r="K15" s="178"/>
      <c r="L15" s="178"/>
      <c r="M15"/>
      <c r="N15" s="125"/>
      <c r="O15" s="125"/>
      <c r="P15" s="125"/>
      <c r="Q15" s="12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4.75" customHeight="1" x14ac:dyDescent="0.2">
      <c r="A16"/>
      <c r="B16" s="175" t="str">
        <f ca="1">+RIGHT('Table 2.4.3-B7'!$B$2, LEN('Table 2.4.3-B7'!$B$2)-6)</f>
        <v>2.4.3-B7</v>
      </c>
      <c r="C16" s="178" t="str">
        <f>+'Table 2.4.3-B7'!$B$5&amp;" by "&amp;LOWER('Table 2.4.3-B7'!$B$6&amp;", "&amp;'Table 2.4.3-B7'!$B$7&amp;" "&amp;"")</f>
        <v xml:space="preserve">Building permits issued by month: 2012 - 2013, building type, count, value, percentage change, in units, value (xcd) and percentage (%) </v>
      </c>
      <c r="D16" s="178"/>
      <c r="E16" s="178"/>
      <c r="F16" s="178"/>
      <c r="G16" s="178"/>
      <c r="H16" s="178"/>
      <c r="I16" s="178"/>
      <c r="J16" s="178"/>
      <c r="K16" s="178"/>
      <c r="L16" s="178"/>
      <c r="M16"/>
      <c r="N16" s="125"/>
      <c r="O16" s="125"/>
      <c r="P16" s="125"/>
      <c r="Q16" s="125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4.75" customHeight="1" x14ac:dyDescent="0.2">
      <c r="A17"/>
      <c r="B17" s="175" t="str">
        <f ca="1">+RIGHT('Table 2.4.3-B8'!$B$2, LEN('Table 2.4.3-B8'!$B$2)-6)</f>
        <v>2.4.3-B8</v>
      </c>
      <c r="C17" s="178" t="str">
        <f>+'Table 2.4.3-B8'!$B$5&amp;" by "&amp;LOWER('Table 2.4.3-B8'!$B$6&amp;", "&amp;'Table 2.4.3-B8'!$B$7&amp;" "&amp;"")</f>
        <v xml:space="preserve">Building permits issued by month: 2014 - 2015, building type, count, value, percentage change, in units, value (xcd) and percentage (%) </v>
      </c>
      <c r="D17" s="178"/>
      <c r="E17" s="178"/>
      <c r="F17" s="178"/>
      <c r="G17" s="178"/>
      <c r="H17" s="178"/>
      <c r="I17" s="178"/>
      <c r="J17" s="178"/>
      <c r="K17" s="178"/>
      <c r="L17" s="178"/>
      <c r="M17"/>
      <c r="N17" s="125"/>
      <c r="O17" s="125"/>
      <c r="P17" s="125"/>
      <c r="Q17" s="125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4.75" customHeight="1" x14ac:dyDescent="0.2">
      <c r="A18"/>
      <c r="B18" s="175" t="str">
        <f ca="1">+RIGHT('Table 2.4.3-B9'!$B$2, LEN('Table 2.4.3-B9'!$B$2)-6)</f>
        <v>2.4.3-B9</v>
      </c>
      <c r="C18" s="178" t="str">
        <f>+'Table 2.4.3-B9'!$B$5&amp;" by "&amp;LOWER('Table 2.4.3-B9'!$B$6&amp;", "&amp;'Table 2.4.3-B9'!$B$7&amp;" "&amp;"")</f>
        <v xml:space="preserve">Building permits issued by month: 2016 - 2017, building type, count, value (xcd), percentage change, in units, value (xcd) </v>
      </c>
      <c r="D18" s="178"/>
      <c r="E18" s="178"/>
      <c r="F18" s="178"/>
      <c r="G18" s="178"/>
      <c r="H18" s="178"/>
      <c r="I18" s="178"/>
      <c r="J18" s="178"/>
      <c r="K18" s="178"/>
      <c r="L18" s="178"/>
      <c r="M18"/>
      <c r="N18" s="125"/>
      <c r="O18" s="125"/>
      <c r="P18" s="125"/>
      <c r="Q18" s="125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x14ac:dyDescent="0.2">
      <c r="A19"/>
      <c r="B19" s="128" t="str">
        <f ca="1">+RIGHT('Table 2.4.3-E1'!$B$2, LEN('Table 2.4.3-E1'!$B$2)-6)</f>
        <v>2.4.3-E1</v>
      </c>
      <c r="C19" s="180" t="str">
        <f>+'Table 2.4.3-E1'!$B$5&amp;" by "&amp;LOWER('Table 2.4.3-E1'!$B$6&amp;", "&amp;'Table 2.4.3-E1'!$B$7&amp;" "&amp;"")</f>
        <v xml:space="preserve">Electrical inspections by year: 2001 - 2011, type, percentage change, in units and percentage (%) </v>
      </c>
      <c r="D19" s="180"/>
      <c r="E19" s="180"/>
      <c r="F19" s="180"/>
      <c r="G19" s="180"/>
      <c r="H19" s="180"/>
      <c r="I19" s="180"/>
      <c r="J19" s="180"/>
      <c r="K19" s="180"/>
      <c r="L19" s="180"/>
      <c r="M19"/>
      <c r="N19" s="125"/>
      <c r="O19" s="125"/>
      <c r="P19" s="125"/>
      <c r="Q19" s="125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x14ac:dyDescent="0.2">
      <c r="A20"/>
      <c r="B20" s="128" t="str">
        <f ca="1">+RIGHT('Table 2.4.3-C1'!$B$2, LEN('Table 2.4.3-C1'!$B$2)-6)</f>
        <v>2.4.3-C1</v>
      </c>
      <c r="C20" s="180" t="str">
        <f>+'Table 2.4.3-C1'!$B$5&amp;" by "&amp;LOWER('Table 2.4.3-C1'!$B$6&amp;", "&amp;'Table 2.4.3-C1'!$B$7&amp;" "&amp;"")</f>
        <v xml:space="preserve">Cement imports by month: 1999 - 2019, percentage change, in units (kgs) and percentage (%) </v>
      </c>
      <c r="D20" s="180"/>
      <c r="E20" s="180"/>
      <c r="F20" s="180"/>
      <c r="G20" s="180"/>
      <c r="H20" s="180"/>
      <c r="I20" s="180"/>
      <c r="J20" s="180"/>
      <c r="K20" s="180"/>
      <c r="L20" s="180"/>
      <c r="M20"/>
      <c r="N20" s="125"/>
      <c r="O20" s="125"/>
      <c r="P20" s="125"/>
      <c r="Q20" s="125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x14ac:dyDescent="0.2">
      <c r="A21"/>
      <c r="B21" s="128" t="str">
        <f ca="1">+RIGHT('Table 2.4.3-C2'!$B$2, LEN('Table 2.4.3-C2'!$B$2)-6)</f>
        <v>2.4.3-C2</v>
      </c>
      <c r="C21" s="180" t="str">
        <f>+'Table 2.4.3-C2'!$B$5&amp;" by "&amp;LOWER('Table 2.4.3-C2'!$B$6&amp;", "&amp;'Table 2.4.3-C2'!$B$7&amp;" "&amp;"")</f>
        <v xml:space="preserve">Cement block imports by month: 1999 - 2022, percentage change, in units (kgs) and percentage (%) </v>
      </c>
      <c r="D21" s="180"/>
      <c r="E21" s="180"/>
      <c r="F21" s="180"/>
      <c r="G21" s="180"/>
      <c r="H21" s="180"/>
      <c r="I21" s="180"/>
      <c r="J21" s="180"/>
      <c r="K21" s="180"/>
      <c r="L21" s="180"/>
      <c r="M21"/>
      <c r="N21" s="125"/>
      <c r="O21" s="125"/>
      <c r="P21" s="125"/>
      <c r="Q21" s="125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x14ac:dyDescent="0.2">
      <c r="A22"/>
      <c r="B22" s="124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5"/>
      <c r="O22" s="125"/>
      <c r="P22" s="125"/>
      <c r="Q22" s="125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x14ac:dyDescent="0.2">
      <c r="A23"/>
      <c r="B23" s="128" t="s">
        <v>53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x14ac:dyDescent="0.2">
      <c r="A24"/>
      <c r="B24" s="130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x14ac:dyDescent="0.2">
      <c r="A25"/>
      <c r="B25" s="128" t="s">
        <v>54</v>
      </c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x14ac:dyDescent="0.2">
      <c r="A26"/>
      <c r="B26" s="158" t="s">
        <v>93</v>
      </c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x14ac:dyDescent="0.2">
      <c r="A27"/>
      <c r="B27" s="129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x14ac:dyDescent="0.2">
      <c r="A28"/>
      <c r="B28" s="128" t="s">
        <v>55</v>
      </c>
      <c r="C28" s="128"/>
      <c r="D28" s="128"/>
      <c r="E28" s="128"/>
      <c r="F28" s="128"/>
      <c r="G28" s="128"/>
      <c r="H28" s="128"/>
      <c r="I28" s="125"/>
      <c r="J28" s="125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x14ac:dyDescent="0.2">
      <c r="B29" s="177">
        <v>44935.551500925925</v>
      </c>
      <c r="C29" s="177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</row>
    <row r="30" spans="1:256" x14ac:dyDescent="0.2">
      <c r="B30" s="130" t="s">
        <v>123</v>
      </c>
      <c r="N30" s="125"/>
      <c r="O30" s="125"/>
      <c r="P30" s="125"/>
      <c r="Q30" s="125"/>
    </row>
    <row r="31" spans="1:256" x14ac:dyDescent="0.2">
      <c r="A31"/>
      <c r="B31" s="156"/>
      <c r="C31" s="131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x14ac:dyDescent="0.2">
      <c r="A32"/>
      <c r="K32" s="125"/>
      <c r="N32" s="125"/>
      <c r="O32" s="125"/>
      <c r="P32" s="125"/>
      <c r="Q32" s="125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x14ac:dyDescent="0.2">
      <c r="A33"/>
      <c r="B33" s="9"/>
      <c r="K33" s="125"/>
      <c r="N33" s="125"/>
      <c r="O33" s="125"/>
      <c r="P33" s="125"/>
      <c r="Q33" s="125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x14ac:dyDescent="0.2">
      <c r="A34"/>
      <c r="B34" s="9"/>
      <c r="K34" s="125"/>
      <c r="N34" s="125"/>
      <c r="O34" s="125"/>
      <c r="P34" s="125"/>
      <c r="Q34" s="125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x14ac:dyDescent="0.2">
      <c r="A35"/>
      <c r="B35" s="9"/>
      <c r="K35" s="125"/>
      <c r="N35" s="125"/>
      <c r="O35" s="125"/>
      <c r="P35" s="125"/>
      <c r="Q35" s="12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x14ac:dyDescent="0.2">
      <c r="A36"/>
      <c r="B36" s="9"/>
      <c r="K36" s="125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x14ac:dyDescent="0.2">
      <c r="A37"/>
      <c r="K37" s="125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x14ac:dyDescent="0.2">
      <c r="A38"/>
      <c r="K38" s="125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x14ac:dyDescent="0.2">
      <c r="A39"/>
      <c r="K39" s="125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x14ac:dyDescent="0.2">
      <c r="A40"/>
      <c r="K40" s="125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mergeCells count="13">
    <mergeCell ref="C13:L13"/>
    <mergeCell ref="C10:L10"/>
    <mergeCell ref="C11:L11"/>
    <mergeCell ref="C12:L12"/>
    <mergeCell ref="C21:L21"/>
    <mergeCell ref="C20:L20"/>
    <mergeCell ref="C14:L14"/>
    <mergeCell ref="C15:L15"/>
    <mergeCell ref="C16:L16"/>
    <mergeCell ref="C17:L17"/>
    <mergeCell ref="C18:L18"/>
    <mergeCell ref="C19:L19"/>
    <mergeCell ref="B29:C29"/>
  </mergeCells>
  <hyperlinks>
    <hyperlink ref="C10:L10" location="'Table 2.4.3-B1'!A1" display="'Table 2.4.3-B1'!A1"/>
    <hyperlink ref="C11:L11" location="'Table 2.4.3-B2'!A1" display="'Table 2.4.3-B2'!A1"/>
    <hyperlink ref="C12:L12" location="'Table 2.4.3-B3'!A1" display="'Table 2.4.3-B3'!A1"/>
    <hyperlink ref="C13:L13" location="'Table 2.4.3-B4'!A1" display="'Table 2.4.3-B4'!A1"/>
    <hyperlink ref="C14:L14" location="'Table 2.4.3-B5'!A1" display="'Table 2.4.3-B5'!A1"/>
    <hyperlink ref="C15:L15" location="'Table 2.4.3-B6'!A1" display="'Table 2.4.3-B6'!A1"/>
    <hyperlink ref="C16:L16" location="'Table 2.4.3-B7'!A1" display="'Table 2.4.3-B7'!A1"/>
    <hyperlink ref="C17:L17" location="'Table 2.4.3-B8'!A1" display="'Table 2.4.3-B8'!A1"/>
    <hyperlink ref="C18:L18" location="'Table 2.4.3-B9'!A1" display="'Table 2.4.3-B9'!A1"/>
    <hyperlink ref="C19:L19" location="'Table 2.4.3-E1'!A1" display="'Table 2.4.3-E1'!A1"/>
    <hyperlink ref="C20:L20" location="'Table 2.4.3-C1'!A1" display="'Table 2.4.3-C1'!A1"/>
    <hyperlink ref="C21:L21" location="'Table 2.4.3-C2'!A1" display="'Table 2.4.3-C2'!A1"/>
    <hyperlink ref="B26" location="'Data notes'!A1" display="Data notes"/>
  </hyperlinks>
  <pageMargins left="0.27" right="0.26" top="0.61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R71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R42" sqref="R42"/>
    </sheetView>
  </sheetViews>
  <sheetFormatPr defaultRowHeight="11.25" x14ac:dyDescent="0.2"/>
  <cols>
    <col min="1" max="1" width="1.140625" style="2" customWidth="1"/>
    <col min="2" max="2" width="14.28515625" style="2" customWidth="1"/>
    <col min="3" max="3" width="8.7109375" style="2" bestFit="1" customWidth="1"/>
    <col min="4" max="4" width="12.5703125" style="2" bestFit="1" customWidth="1"/>
    <col min="5" max="5" width="8" style="2" bestFit="1" customWidth="1"/>
    <col min="6" max="6" width="12.5703125" style="2" bestFit="1" customWidth="1"/>
    <col min="7" max="7" width="8" style="2" bestFit="1" customWidth="1"/>
    <col min="8" max="8" width="12.5703125" style="2" bestFit="1" customWidth="1"/>
    <col min="9" max="9" width="8" style="2" bestFit="1" customWidth="1"/>
    <col min="10" max="10" width="11.7109375" style="2" bestFit="1" customWidth="1"/>
    <col min="11" max="11" width="8" style="2" bestFit="1" customWidth="1"/>
    <col min="12" max="12" width="11.7109375" style="2" bestFit="1" customWidth="1"/>
    <col min="13" max="13" width="8" style="2" bestFit="1" customWidth="1"/>
    <col min="14" max="14" width="11.7109375" style="2" bestFit="1" customWidth="1"/>
    <col min="15" max="15" width="7.42578125" style="9" bestFit="1" customWidth="1"/>
    <col min="16" max="16" width="12.5703125" style="9" bestFit="1" customWidth="1"/>
    <col min="17" max="16384" width="9.140625" style="2"/>
  </cols>
  <sheetData>
    <row r="2" spans="2:16" s="23" customFormat="1" ht="12.75" x14ac:dyDescent="0.2">
      <c r="B2" s="24" t="str">
        <f ca="1">MID(CELL("filename",A1),FIND("]",CELL("filename",A1))+1,255)</f>
        <v>Table 2.4.3-B8</v>
      </c>
    </row>
    <row r="3" spans="2:16" s="23" customFormat="1" ht="12.75" x14ac:dyDescent="0.2"/>
    <row r="4" spans="2:16" s="23" customFormat="1" ht="12.75" x14ac:dyDescent="0.2">
      <c r="B4" s="1" t="s">
        <v>6</v>
      </c>
    </row>
    <row r="5" spans="2:16" s="23" customFormat="1" ht="12.75" x14ac:dyDescent="0.2">
      <c r="B5" s="1" t="s">
        <v>12</v>
      </c>
    </row>
    <row r="6" spans="2:16" s="23" customFormat="1" ht="12.75" x14ac:dyDescent="0.2">
      <c r="B6" s="1" t="s">
        <v>105</v>
      </c>
    </row>
    <row r="7" spans="2:16" s="23" customFormat="1" ht="12.75" x14ac:dyDescent="0.2">
      <c r="B7" s="1" t="s">
        <v>67</v>
      </c>
    </row>
    <row r="8" spans="2:16" ht="12.75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6" ht="12" x14ac:dyDescent="0.2">
      <c r="B9" s="46"/>
      <c r="C9" s="182" t="s">
        <v>13</v>
      </c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</row>
    <row r="10" spans="2:16" ht="29.25" customHeight="1" x14ac:dyDescent="0.2">
      <c r="B10" s="44"/>
      <c r="C10" s="184" t="s">
        <v>32</v>
      </c>
      <c r="D10" s="185"/>
      <c r="E10" s="186" t="s">
        <v>70</v>
      </c>
      <c r="F10" s="186"/>
      <c r="G10" s="184" t="s">
        <v>31</v>
      </c>
      <c r="H10" s="185"/>
      <c r="I10" s="186" t="s">
        <v>30</v>
      </c>
      <c r="J10" s="185"/>
      <c r="K10" s="184" t="s">
        <v>34</v>
      </c>
      <c r="L10" s="185"/>
      <c r="M10" s="184" t="s">
        <v>33</v>
      </c>
      <c r="N10" s="185"/>
      <c r="O10" s="186" t="s">
        <v>35</v>
      </c>
      <c r="P10" s="186"/>
    </row>
    <row r="11" spans="2:16" ht="12" x14ac:dyDescent="0.2">
      <c r="B11" s="45" t="s">
        <v>29</v>
      </c>
      <c r="C11" s="146" t="s">
        <v>2</v>
      </c>
      <c r="D11" s="147" t="s">
        <v>3</v>
      </c>
      <c r="E11" s="148" t="s">
        <v>2</v>
      </c>
      <c r="F11" s="148" t="s">
        <v>3</v>
      </c>
      <c r="G11" s="154" t="s">
        <v>2</v>
      </c>
      <c r="H11" s="153" t="s">
        <v>3</v>
      </c>
      <c r="I11" s="148" t="s">
        <v>2</v>
      </c>
      <c r="J11" s="147" t="s">
        <v>3</v>
      </c>
      <c r="K11" s="146" t="s">
        <v>2</v>
      </c>
      <c r="L11" s="147" t="s">
        <v>3</v>
      </c>
      <c r="M11" s="146" t="s">
        <v>2</v>
      </c>
      <c r="N11" s="147" t="s">
        <v>3</v>
      </c>
      <c r="O11" s="148" t="s">
        <v>2</v>
      </c>
      <c r="P11" s="148" t="s">
        <v>3</v>
      </c>
    </row>
    <row r="12" spans="2:16" ht="12.75" x14ac:dyDescent="0.2">
      <c r="B12" s="55">
        <v>2014</v>
      </c>
      <c r="C12" s="69"/>
      <c r="D12" s="81"/>
      <c r="E12" s="69"/>
      <c r="F12" s="56"/>
      <c r="G12" s="90"/>
      <c r="H12" s="81"/>
      <c r="I12" s="69"/>
      <c r="J12" s="56"/>
      <c r="K12" s="90"/>
      <c r="L12" s="81"/>
      <c r="M12" s="90"/>
      <c r="N12" s="81"/>
      <c r="O12" s="69"/>
      <c r="P12" s="56"/>
    </row>
    <row r="13" spans="2:16" ht="12" x14ac:dyDescent="0.2">
      <c r="B13" s="64" t="s">
        <v>14</v>
      </c>
      <c r="C13" s="71">
        <f>'[14]Statistical Data Update'!$C$30</f>
        <v>6</v>
      </c>
      <c r="D13" s="78">
        <f>'[14]Statistical Data Update'!$D$30</f>
        <v>1299400</v>
      </c>
      <c r="E13" s="71">
        <f>'[14]Statistical Data Update'!$E$30</f>
        <v>4</v>
      </c>
      <c r="F13" s="50">
        <f>'[14]Statistical Data Update'!$F$30</f>
        <v>1579500</v>
      </c>
      <c r="G13" s="87">
        <f>'[14]Statistical Data Update'!$G$30</f>
        <v>1</v>
      </c>
      <c r="H13" s="78">
        <f>'[14]Statistical Data Update'!$H$30</f>
        <v>2071800</v>
      </c>
      <c r="I13" s="71">
        <f>'[14]Statistical Data Update'!$I$30</f>
        <v>3</v>
      </c>
      <c r="J13" s="50">
        <f>'[14]Statistical Data Update'!$J$30</f>
        <v>320200</v>
      </c>
      <c r="K13" s="87">
        <f>'[14]Statistical Data Update'!$K$30</f>
        <v>0</v>
      </c>
      <c r="L13" s="78">
        <f>'[14]Statistical Data Update'!$L$30</f>
        <v>0</v>
      </c>
      <c r="M13" s="87">
        <f>'[14]Statistical Data Update'!$M$30</f>
        <v>0</v>
      </c>
      <c r="N13" s="78">
        <f>'[14]Statistical Data Update'!$N$30</f>
        <v>0</v>
      </c>
      <c r="O13" s="71">
        <f>'[14]Statistical Data Update'!$O$30</f>
        <v>14</v>
      </c>
      <c r="P13" s="50">
        <f t="shared" ref="P13:P28" si="0">D13+F13+H13+J13+L13+N13</f>
        <v>5270900</v>
      </c>
    </row>
    <row r="14" spans="2:16" ht="12" x14ac:dyDescent="0.2">
      <c r="B14" s="64" t="s">
        <v>15</v>
      </c>
      <c r="C14" s="71">
        <f>'[14]Statistical Data Update'!$C$31</f>
        <v>10</v>
      </c>
      <c r="D14" s="78">
        <f>'[14]Statistical Data Update'!$D$31</f>
        <v>1840900</v>
      </c>
      <c r="E14" s="71">
        <f>'[14]Statistical Data Update'!$E$31</f>
        <v>1</v>
      </c>
      <c r="F14" s="50">
        <f>'[14]Statistical Data Update'!$F$31</f>
        <v>213300</v>
      </c>
      <c r="G14" s="87">
        <f>'[14]Statistical Data Update'!$G$31</f>
        <v>0</v>
      </c>
      <c r="H14" s="78">
        <f>'[14]Statistical Data Update'!$H$31</f>
        <v>0</v>
      </c>
      <c r="I14" s="71">
        <f>'[14]Statistical Data Update'!$I$31</f>
        <v>1</v>
      </c>
      <c r="J14" s="50">
        <f>'[14]Statistical Data Update'!$J$31</f>
        <v>72000</v>
      </c>
      <c r="K14" s="87">
        <f>'[14]Statistical Data Update'!$K$31</f>
        <v>0</v>
      </c>
      <c r="L14" s="78">
        <f>'[14]Statistical Data Update'!$L$31</f>
        <v>0</v>
      </c>
      <c r="M14" s="87">
        <f>'[14]Statistical Data Update'!$M$31</f>
        <v>1</v>
      </c>
      <c r="N14" s="78">
        <f>'[14]Statistical Data Update'!$N$31</f>
        <v>1987300</v>
      </c>
      <c r="O14" s="71">
        <f>'[14]Statistical Data Update'!$O$31</f>
        <v>13</v>
      </c>
      <c r="P14" s="50">
        <f t="shared" si="0"/>
        <v>4113500</v>
      </c>
    </row>
    <row r="15" spans="2:16" ht="12" x14ac:dyDescent="0.2">
      <c r="B15" s="64" t="s">
        <v>16</v>
      </c>
      <c r="C15" s="71">
        <f>'[14]Statistical Data Update'!$C$32</f>
        <v>4</v>
      </c>
      <c r="D15" s="78">
        <f>'[14]Statistical Data Update'!$D$32</f>
        <v>602300</v>
      </c>
      <c r="E15" s="71">
        <f>'[14]Statistical Data Update'!$E$32</f>
        <v>1</v>
      </c>
      <c r="F15" s="50">
        <f>'[14]Statistical Data Update'!$F$32</f>
        <v>253000</v>
      </c>
      <c r="G15" s="87">
        <f>'[14]Statistical Data Update'!$G$32</f>
        <v>1</v>
      </c>
      <c r="H15" s="78">
        <f>'[14]Statistical Data Update'!$H$32</f>
        <v>524000</v>
      </c>
      <c r="I15" s="71">
        <f>'[14]Statistical Data Update'!$I$32</f>
        <v>3</v>
      </c>
      <c r="J15" s="50">
        <f>'[14]Statistical Data Update'!$J$32</f>
        <v>1098700</v>
      </c>
      <c r="K15" s="87">
        <f>'[14]Statistical Data Update'!$K$32</f>
        <v>1</v>
      </c>
      <c r="L15" s="78">
        <f>'[14]Statistical Data Update'!$L$32</f>
        <v>0</v>
      </c>
      <c r="M15" s="87">
        <f>'[14]Statistical Data Update'!$M$32</f>
        <v>0</v>
      </c>
      <c r="N15" s="78">
        <f>'[14]Statistical Data Update'!$N$32</f>
        <v>0</v>
      </c>
      <c r="O15" s="71">
        <f>'[14]Statistical Data Update'!$O$32</f>
        <v>10</v>
      </c>
      <c r="P15" s="50">
        <f t="shared" si="0"/>
        <v>2478000</v>
      </c>
    </row>
    <row r="16" spans="2:16" ht="12" x14ac:dyDescent="0.2">
      <c r="B16" s="51" t="s">
        <v>17</v>
      </c>
      <c r="C16" s="72">
        <f>SUM(C13:C15)</f>
        <v>20</v>
      </c>
      <c r="D16" s="79">
        <f t="shared" ref="D16:O16" si="1">SUM(D13:D15)</f>
        <v>3742600</v>
      </c>
      <c r="E16" s="72">
        <f t="shared" si="1"/>
        <v>6</v>
      </c>
      <c r="F16" s="52">
        <f t="shared" si="1"/>
        <v>2045800</v>
      </c>
      <c r="G16" s="88">
        <f t="shared" si="1"/>
        <v>2</v>
      </c>
      <c r="H16" s="79">
        <f t="shared" si="1"/>
        <v>2595800</v>
      </c>
      <c r="I16" s="72">
        <f t="shared" si="1"/>
        <v>7</v>
      </c>
      <c r="J16" s="52">
        <f t="shared" si="1"/>
        <v>1490900</v>
      </c>
      <c r="K16" s="88">
        <f t="shared" si="1"/>
        <v>1</v>
      </c>
      <c r="L16" s="79">
        <f t="shared" si="1"/>
        <v>0</v>
      </c>
      <c r="M16" s="88">
        <f t="shared" si="1"/>
        <v>1</v>
      </c>
      <c r="N16" s="79">
        <f t="shared" si="1"/>
        <v>1987300</v>
      </c>
      <c r="O16" s="72">
        <f t="shared" si="1"/>
        <v>37</v>
      </c>
      <c r="P16" s="52">
        <f t="shared" si="0"/>
        <v>11862400</v>
      </c>
    </row>
    <row r="17" spans="2:16" ht="12" x14ac:dyDescent="0.2">
      <c r="B17" s="64" t="s">
        <v>18</v>
      </c>
      <c r="C17" s="71">
        <f>'[14]Statistical Data Update'!$C$34</f>
        <v>10</v>
      </c>
      <c r="D17" s="78">
        <f>'[14]Statistical Data Update'!$D$34</f>
        <v>2373200</v>
      </c>
      <c r="E17" s="71">
        <f>'[14]Statistical Data Update'!$E$34</f>
        <v>2</v>
      </c>
      <c r="F17" s="50">
        <f>'[14]Statistical Data Update'!$F$34</f>
        <v>548600</v>
      </c>
      <c r="G17" s="87">
        <f>'[14]Statistical Data Update'!$G$34</f>
        <v>0</v>
      </c>
      <c r="H17" s="78">
        <f>'[14]Statistical Data Update'!$H$34</f>
        <v>0</v>
      </c>
      <c r="I17" s="71">
        <f>'[14]Statistical Data Update'!$I$34</f>
        <v>0</v>
      </c>
      <c r="J17" s="50">
        <f>'[14]Statistical Data Update'!$J$34</f>
        <v>0</v>
      </c>
      <c r="K17" s="87">
        <f>'[14]Statistical Data Update'!$K$34</f>
        <v>0</v>
      </c>
      <c r="L17" s="78">
        <f>'[14]Statistical Data Update'!$L$34</f>
        <v>0</v>
      </c>
      <c r="M17" s="87">
        <f>'[14]Statistical Data Update'!$M$34</f>
        <v>0</v>
      </c>
      <c r="N17" s="78">
        <f>'[14]Statistical Data Update'!$N$34</f>
        <v>0</v>
      </c>
      <c r="O17" s="71">
        <f>'[15]Statistical Data'!$O$12</f>
        <v>12</v>
      </c>
      <c r="P17" s="50">
        <f t="shared" si="0"/>
        <v>2921800</v>
      </c>
    </row>
    <row r="18" spans="2:16" ht="12" x14ac:dyDescent="0.2">
      <c r="B18" s="64" t="s">
        <v>19</v>
      </c>
      <c r="C18" s="71">
        <f>'[14]Statistical Data Update'!$C$35</f>
        <v>9</v>
      </c>
      <c r="D18" s="78">
        <f>'[14]Statistical Data Update'!$D$35</f>
        <v>1664500</v>
      </c>
      <c r="E18" s="71">
        <f>'[14]Statistical Data Update'!$E$35</f>
        <v>1</v>
      </c>
      <c r="F18" s="50">
        <f>'[14]Statistical Data Update'!$F$35</f>
        <v>240300</v>
      </c>
      <c r="G18" s="87">
        <f>'[14]Statistical Data Update'!$G$35</f>
        <v>3</v>
      </c>
      <c r="H18" s="78">
        <f>'[14]Statistical Data Update'!$H$35</f>
        <v>4840100</v>
      </c>
      <c r="I18" s="71">
        <f>'[14]Statistical Data Update'!$I$35</f>
        <v>1</v>
      </c>
      <c r="J18" s="50">
        <f>'[14]Statistical Data Update'!$J$35</f>
        <v>40800</v>
      </c>
      <c r="K18" s="87">
        <f>'[14]Statistical Data Update'!$K$35</f>
        <v>1</v>
      </c>
      <c r="L18" s="78">
        <f>'[14]Statistical Data Update'!$L$35</f>
        <v>202300</v>
      </c>
      <c r="M18" s="87">
        <f>'[14]Statistical Data Update'!$M$35</f>
        <v>0</v>
      </c>
      <c r="N18" s="78">
        <f>'[14]Statistical Data Update'!$N$35</f>
        <v>0</v>
      </c>
      <c r="O18" s="71">
        <f>'[15]Statistical Data'!$O$13</f>
        <v>15</v>
      </c>
      <c r="P18" s="50">
        <f t="shared" si="0"/>
        <v>6988000</v>
      </c>
    </row>
    <row r="19" spans="2:16" ht="12" x14ac:dyDescent="0.2">
      <c r="B19" s="64" t="s">
        <v>20</v>
      </c>
      <c r="C19" s="71">
        <f>'[14]Statistical Data Update'!$C$36</f>
        <v>3</v>
      </c>
      <c r="D19" s="78">
        <f>'[14]Statistical Data Update'!$D$36</f>
        <v>712000</v>
      </c>
      <c r="E19" s="71">
        <f>'[14]Statistical Data Update'!$E$36</f>
        <v>3</v>
      </c>
      <c r="F19" s="50">
        <f>'[14]Statistical Data Update'!$F$36</f>
        <v>675900</v>
      </c>
      <c r="G19" s="87">
        <f>'[14]Statistical Data Update'!$G$36</f>
        <v>1</v>
      </c>
      <c r="H19" s="78">
        <f>'[14]Statistical Data Update'!$H$36</f>
        <v>1211100</v>
      </c>
      <c r="I19" s="71">
        <f>'[14]Statistical Data Update'!$I$36</f>
        <v>0</v>
      </c>
      <c r="J19" s="50">
        <f>'[14]Statistical Data Update'!$J$36</f>
        <v>0</v>
      </c>
      <c r="K19" s="87">
        <f>'[14]Statistical Data Update'!$K$36</f>
        <v>1</v>
      </c>
      <c r="L19" s="78">
        <f>'[14]Statistical Data Update'!$L$36</f>
        <v>1905000</v>
      </c>
      <c r="M19" s="87">
        <f>'[14]Statistical Data Update'!$M$36</f>
        <v>0</v>
      </c>
      <c r="N19" s="78">
        <f>'[14]Statistical Data Update'!$N$36</f>
        <v>0</v>
      </c>
      <c r="O19" s="71">
        <f>'[15]Statistical Data'!$O$14</f>
        <v>8</v>
      </c>
      <c r="P19" s="50">
        <f t="shared" si="0"/>
        <v>4504000</v>
      </c>
    </row>
    <row r="20" spans="2:16" ht="12" x14ac:dyDescent="0.2">
      <c r="B20" s="51" t="s">
        <v>21</v>
      </c>
      <c r="C20" s="72">
        <f t="shared" ref="C20:O20" si="2">SUM(C17:C19)</f>
        <v>22</v>
      </c>
      <c r="D20" s="79">
        <f t="shared" si="2"/>
        <v>4749700</v>
      </c>
      <c r="E20" s="72">
        <f t="shared" si="2"/>
        <v>6</v>
      </c>
      <c r="F20" s="52">
        <f t="shared" si="2"/>
        <v>1464800</v>
      </c>
      <c r="G20" s="88">
        <f t="shared" si="2"/>
        <v>4</v>
      </c>
      <c r="H20" s="79">
        <f t="shared" si="2"/>
        <v>6051200</v>
      </c>
      <c r="I20" s="72">
        <f t="shared" si="2"/>
        <v>1</v>
      </c>
      <c r="J20" s="52">
        <f t="shared" si="2"/>
        <v>40800</v>
      </c>
      <c r="K20" s="88">
        <f t="shared" si="2"/>
        <v>2</v>
      </c>
      <c r="L20" s="79">
        <f t="shared" si="2"/>
        <v>2107300</v>
      </c>
      <c r="M20" s="88">
        <f t="shared" si="2"/>
        <v>0</v>
      </c>
      <c r="N20" s="79">
        <f t="shared" si="2"/>
        <v>0</v>
      </c>
      <c r="O20" s="72">
        <f t="shared" si="2"/>
        <v>35</v>
      </c>
      <c r="P20" s="52">
        <f t="shared" si="0"/>
        <v>14413800</v>
      </c>
    </row>
    <row r="21" spans="2:16" ht="12" x14ac:dyDescent="0.2">
      <c r="B21" s="64" t="s">
        <v>22</v>
      </c>
      <c r="C21" s="71">
        <f>'[14]Statistical Data Update'!$C$38</f>
        <v>5</v>
      </c>
      <c r="D21" s="78">
        <f>'[14]Statistical Data Update'!$D$38</f>
        <v>878300</v>
      </c>
      <c r="E21" s="71">
        <f>'[14]Statistical Data Update'!$E$38</f>
        <v>0</v>
      </c>
      <c r="F21" s="50">
        <f>'[14]Statistical Data Update'!$F$38</f>
        <v>0</v>
      </c>
      <c r="G21" s="87">
        <f>'[14]Statistical Data Update'!$G$38</f>
        <v>1</v>
      </c>
      <c r="H21" s="78">
        <f>'[14]Statistical Data Update'!$H$38</f>
        <v>70000</v>
      </c>
      <c r="I21" s="71">
        <f>'[14]Statistical Data Update'!$I$38</f>
        <v>3</v>
      </c>
      <c r="J21" s="50">
        <f>'[14]Statistical Data Update'!$J$38</f>
        <v>2451700</v>
      </c>
      <c r="K21" s="87">
        <f>'[14]Statistical Data Update'!$K$38</f>
        <v>0</v>
      </c>
      <c r="L21" s="78">
        <f>'[14]Statistical Data Update'!$L$38</f>
        <v>0</v>
      </c>
      <c r="M21" s="87">
        <f>'[14]Statistical Data Update'!$M$38</f>
        <v>0</v>
      </c>
      <c r="N21" s="78">
        <f>'[14]Statistical Data Update'!$N$38</f>
        <v>0</v>
      </c>
      <c r="O21" s="71">
        <f>'[15]Statistical Data'!$O$16</f>
        <v>9</v>
      </c>
      <c r="P21" s="50">
        <f t="shared" si="0"/>
        <v>3400000</v>
      </c>
    </row>
    <row r="22" spans="2:16" ht="12" x14ac:dyDescent="0.2">
      <c r="B22" s="64" t="s">
        <v>23</v>
      </c>
      <c r="C22" s="71">
        <f>'[14]Statistical Data Update'!$C$39</f>
        <v>2</v>
      </c>
      <c r="D22" s="78">
        <f>'[14]Statistical Data Update'!$D$39</f>
        <v>362500</v>
      </c>
      <c r="E22" s="71">
        <f>'[14]Statistical Data Update'!$E$39</f>
        <v>0</v>
      </c>
      <c r="F22" s="50">
        <f>'[14]Statistical Data Update'!$F$39</f>
        <v>0</v>
      </c>
      <c r="G22" s="87">
        <f>'[14]Statistical Data Update'!$G$39</f>
        <v>0</v>
      </c>
      <c r="H22" s="78">
        <f>'[14]Statistical Data Update'!$H$39</f>
        <v>0</v>
      </c>
      <c r="I22" s="71">
        <f>'[14]Statistical Data Update'!$I$39</f>
        <v>1</v>
      </c>
      <c r="J22" s="50">
        <f>'[14]Statistical Data Update'!$J$39</f>
        <v>400400</v>
      </c>
      <c r="K22" s="87">
        <f>'[14]Statistical Data Update'!$K$39</f>
        <v>0</v>
      </c>
      <c r="L22" s="78">
        <f>'[14]Statistical Data Update'!$L$39</f>
        <v>0</v>
      </c>
      <c r="M22" s="87">
        <f>'[14]Statistical Data Update'!$M$39</f>
        <v>1</v>
      </c>
      <c r="N22" s="78">
        <f>'[14]Statistical Data Update'!$N$39</f>
        <v>0</v>
      </c>
      <c r="O22" s="71">
        <f>'[15]Statistical Data'!$O$17</f>
        <v>4</v>
      </c>
      <c r="P22" s="50">
        <f t="shared" si="0"/>
        <v>762900</v>
      </c>
    </row>
    <row r="23" spans="2:16" ht="12" x14ac:dyDescent="0.2">
      <c r="B23" s="64" t="s">
        <v>36</v>
      </c>
      <c r="C23" s="71">
        <f>'[14]Statistical Data Update'!$C$40</f>
        <v>2</v>
      </c>
      <c r="D23" s="78">
        <f>'[14]Statistical Data Update'!$D$40</f>
        <v>179400</v>
      </c>
      <c r="E23" s="71">
        <f>'[14]Statistical Data Update'!$E$40</f>
        <v>1</v>
      </c>
      <c r="F23" s="50">
        <f>'[14]Statistical Data Update'!$F$40</f>
        <v>438800</v>
      </c>
      <c r="G23" s="87">
        <f>'[14]Statistical Data Update'!$G$40</f>
        <v>1</v>
      </c>
      <c r="H23" s="78">
        <f>'[14]Statistical Data Update'!$H$40</f>
        <v>2737400</v>
      </c>
      <c r="I23" s="71">
        <f>'[14]Statistical Data Update'!$I$40</f>
        <v>5</v>
      </c>
      <c r="J23" s="50">
        <f>'[14]Statistical Data Update'!$J$40</f>
        <v>3307800</v>
      </c>
      <c r="K23" s="87">
        <f>'[14]Statistical Data Update'!$K$40</f>
        <v>0</v>
      </c>
      <c r="L23" s="78">
        <f>'[14]Statistical Data Update'!$L$40</f>
        <v>0</v>
      </c>
      <c r="M23" s="87">
        <f>'[14]Statistical Data Update'!$M$40</f>
        <v>2</v>
      </c>
      <c r="N23" s="78">
        <f>'[14]Statistical Data Update'!$N$40</f>
        <v>16800</v>
      </c>
      <c r="O23" s="71">
        <f>'[15]Statistical Data'!$O$18</f>
        <v>11</v>
      </c>
      <c r="P23" s="50">
        <f t="shared" si="0"/>
        <v>6680200</v>
      </c>
    </row>
    <row r="24" spans="2:16" ht="12" x14ac:dyDescent="0.2">
      <c r="B24" s="51" t="s">
        <v>24</v>
      </c>
      <c r="C24" s="72">
        <f t="shared" ref="C24:O24" si="3">SUM(C21:C23)</f>
        <v>9</v>
      </c>
      <c r="D24" s="79">
        <f t="shared" si="3"/>
        <v>1420200</v>
      </c>
      <c r="E24" s="72">
        <f t="shared" si="3"/>
        <v>1</v>
      </c>
      <c r="F24" s="52">
        <f t="shared" si="3"/>
        <v>438800</v>
      </c>
      <c r="G24" s="88">
        <f t="shared" si="3"/>
        <v>2</v>
      </c>
      <c r="H24" s="79">
        <f t="shared" si="3"/>
        <v>2807400</v>
      </c>
      <c r="I24" s="72">
        <f t="shared" si="3"/>
        <v>9</v>
      </c>
      <c r="J24" s="52">
        <f t="shared" si="3"/>
        <v>6159900</v>
      </c>
      <c r="K24" s="88">
        <f t="shared" si="3"/>
        <v>0</v>
      </c>
      <c r="L24" s="79">
        <f t="shared" si="3"/>
        <v>0</v>
      </c>
      <c r="M24" s="88">
        <f t="shared" si="3"/>
        <v>3</v>
      </c>
      <c r="N24" s="79">
        <f t="shared" si="3"/>
        <v>16800</v>
      </c>
      <c r="O24" s="72">
        <f t="shared" si="3"/>
        <v>24</v>
      </c>
      <c r="P24" s="52">
        <f t="shared" si="0"/>
        <v>10843100</v>
      </c>
    </row>
    <row r="25" spans="2:16" ht="12" x14ac:dyDescent="0.2">
      <c r="B25" s="64" t="s">
        <v>25</v>
      </c>
      <c r="C25" s="71">
        <f>'[14]Statistical Data Update'!$C$42</f>
        <v>10</v>
      </c>
      <c r="D25" s="78">
        <f>'[14]Statistical Data Update'!$D$42</f>
        <v>3940300</v>
      </c>
      <c r="E25" s="71">
        <f>'[14]Statistical Data Update'!$E$42</f>
        <v>2</v>
      </c>
      <c r="F25" s="50">
        <f>'[14]Statistical Data Update'!$F$42</f>
        <v>434700</v>
      </c>
      <c r="G25" s="87">
        <f>'[14]Statistical Data Update'!$G$42</f>
        <v>0</v>
      </c>
      <c r="H25" s="78">
        <f>'[14]Statistical Data Update'!$H$42</f>
        <v>0</v>
      </c>
      <c r="I25" s="71">
        <f>'[14]Statistical Data Update'!$I$42</f>
        <v>2</v>
      </c>
      <c r="J25" s="50">
        <f>'[14]Statistical Data Update'!$J$42</f>
        <v>47700</v>
      </c>
      <c r="K25" s="87">
        <f>'[14]Statistical Data Update'!$K$42</f>
        <v>0</v>
      </c>
      <c r="L25" s="78">
        <f>'[14]Statistical Data Update'!$L$42</f>
        <v>0</v>
      </c>
      <c r="M25" s="87">
        <f>'[14]Statistical Data Update'!$M$42</f>
        <v>0</v>
      </c>
      <c r="N25" s="78">
        <f>'[14]Statistical Data Update'!$N$42</f>
        <v>0</v>
      </c>
      <c r="O25" s="71">
        <f>'[15]Statistical Data'!$O$20</f>
        <v>14</v>
      </c>
      <c r="P25" s="50">
        <f t="shared" si="0"/>
        <v>4422700</v>
      </c>
    </row>
    <row r="26" spans="2:16" ht="12" x14ac:dyDescent="0.2">
      <c r="B26" s="64" t="s">
        <v>26</v>
      </c>
      <c r="C26" s="71">
        <f>'[14]Statistical Data Update'!$C$43</f>
        <v>2</v>
      </c>
      <c r="D26" s="78">
        <f>'[14]Statistical Data Update'!$D$43</f>
        <v>1113800</v>
      </c>
      <c r="E26" s="71">
        <f>'[14]Statistical Data Update'!$E$43</f>
        <v>1</v>
      </c>
      <c r="F26" s="50">
        <f>'[14]Statistical Data Update'!$F$43</f>
        <v>118300</v>
      </c>
      <c r="G26" s="87">
        <f>'[14]Statistical Data Update'!$G$43</f>
        <v>1</v>
      </c>
      <c r="H26" s="78">
        <f>'[14]Statistical Data Update'!$H$43</f>
        <v>7119100</v>
      </c>
      <c r="I26" s="71">
        <f>'[14]Statistical Data Update'!$I$43</f>
        <v>0</v>
      </c>
      <c r="J26" s="50">
        <f>'[14]Statistical Data Update'!$J$43</f>
        <v>0</v>
      </c>
      <c r="K26" s="87">
        <f>'[14]Statistical Data Update'!$K$43</f>
        <v>0</v>
      </c>
      <c r="L26" s="78">
        <f>'[14]Statistical Data Update'!$L$43</f>
        <v>0</v>
      </c>
      <c r="M26" s="87">
        <f>'[14]Statistical Data Update'!$M$43</f>
        <v>0</v>
      </c>
      <c r="N26" s="78">
        <f>'[14]Statistical Data Update'!$N$43</f>
        <v>0</v>
      </c>
      <c r="O26" s="71">
        <f>'[15]Statistical Data'!$O$21</f>
        <v>4</v>
      </c>
      <c r="P26" s="50">
        <f t="shared" si="0"/>
        <v>8351200</v>
      </c>
    </row>
    <row r="27" spans="2:16" ht="12" x14ac:dyDescent="0.2">
      <c r="B27" s="64" t="s">
        <v>27</v>
      </c>
      <c r="C27" s="71">
        <f>'[14]Statistical Data Update'!$C$44</f>
        <v>9</v>
      </c>
      <c r="D27" s="78">
        <f>'[14]Statistical Data Update'!$D$44</f>
        <v>1554900</v>
      </c>
      <c r="E27" s="71">
        <f>'[14]Statistical Data Update'!$E$44</f>
        <v>1</v>
      </c>
      <c r="F27" s="50">
        <f>'[14]Statistical Data Update'!$F$44</f>
        <v>310900</v>
      </c>
      <c r="G27" s="87">
        <f>'[14]Statistical Data Update'!$G$44</f>
        <v>0</v>
      </c>
      <c r="H27" s="78">
        <f>'[14]Statistical Data Update'!$H$44</f>
        <v>0</v>
      </c>
      <c r="I27" s="71">
        <f>'[14]Statistical Data Update'!$I$44</f>
        <v>0</v>
      </c>
      <c r="J27" s="50">
        <f>'[14]Statistical Data Update'!$J$44</f>
        <v>0</v>
      </c>
      <c r="K27" s="87">
        <f>'[14]Statistical Data Update'!$K$44</f>
        <v>0</v>
      </c>
      <c r="L27" s="78">
        <f>'[14]Statistical Data Update'!$L$44</f>
        <v>0</v>
      </c>
      <c r="M27" s="87">
        <f>'[14]Statistical Data Update'!$M$44</f>
        <v>0</v>
      </c>
      <c r="N27" s="78">
        <f>'[14]Statistical Data Update'!$N$44</f>
        <v>0</v>
      </c>
      <c r="O27" s="71">
        <f>'[15]Statistical Data'!$O$22</f>
        <v>10</v>
      </c>
      <c r="P27" s="50">
        <f t="shared" si="0"/>
        <v>1865800</v>
      </c>
    </row>
    <row r="28" spans="2:16" s="9" customFormat="1" ht="12" x14ac:dyDescent="0.2">
      <c r="B28" s="51" t="s">
        <v>28</v>
      </c>
      <c r="C28" s="72">
        <f t="shared" ref="C28:O28" si="4">SUM(C25:C27)</f>
        <v>21</v>
      </c>
      <c r="D28" s="79">
        <f t="shared" si="4"/>
        <v>6609000</v>
      </c>
      <c r="E28" s="72">
        <f t="shared" si="4"/>
        <v>4</v>
      </c>
      <c r="F28" s="52">
        <f t="shared" si="4"/>
        <v>863900</v>
      </c>
      <c r="G28" s="88">
        <f t="shared" si="4"/>
        <v>1</v>
      </c>
      <c r="H28" s="79">
        <f t="shared" si="4"/>
        <v>7119100</v>
      </c>
      <c r="I28" s="72">
        <f t="shared" si="4"/>
        <v>2</v>
      </c>
      <c r="J28" s="52">
        <f t="shared" si="4"/>
        <v>47700</v>
      </c>
      <c r="K28" s="88">
        <f t="shared" si="4"/>
        <v>0</v>
      </c>
      <c r="L28" s="79">
        <f t="shared" si="4"/>
        <v>0</v>
      </c>
      <c r="M28" s="88">
        <f t="shared" si="4"/>
        <v>0</v>
      </c>
      <c r="N28" s="79">
        <f t="shared" si="4"/>
        <v>0</v>
      </c>
      <c r="O28" s="72">
        <f t="shared" si="4"/>
        <v>28</v>
      </c>
      <c r="P28" s="52">
        <f t="shared" si="0"/>
        <v>14639700</v>
      </c>
    </row>
    <row r="29" spans="2:16" s="9" customFormat="1" ht="12" x14ac:dyDescent="0.2">
      <c r="B29" s="45" t="s">
        <v>35</v>
      </c>
      <c r="C29" s="73">
        <f t="shared" ref="C29:N29" si="5">+C16+C20+C24+C28</f>
        <v>72</v>
      </c>
      <c r="D29" s="80">
        <f t="shared" si="5"/>
        <v>16521500</v>
      </c>
      <c r="E29" s="73">
        <f>+E16+E20+E24+E28</f>
        <v>17</v>
      </c>
      <c r="F29" s="53">
        <f t="shared" si="5"/>
        <v>4813300</v>
      </c>
      <c r="G29" s="89">
        <f t="shared" si="5"/>
        <v>9</v>
      </c>
      <c r="H29" s="80">
        <f t="shared" si="5"/>
        <v>18573500</v>
      </c>
      <c r="I29" s="73">
        <f t="shared" si="5"/>
        <v>19</v>
      </c>
      <c r="J29" s="53">
        <f t="shared" si="5"/>
        <v>7739300</v>
      </c>
      <c r="K29" s="89">
        <f t="shared" si="5"/>
        <v>3</v>
      </c>
      <c r="L29" s="80">
        <f t="shared" si="5"/>
        <v>2107300</v>
      </c>
      <c r="M29" s="89">
        <f t="shared" si="5"/>
        <v>4</v>
      </c>
      <c r="N29" s="80">
        <f t="shared" si="5"/>
        <v>2004100</v>
      </c>
      <c r="O29" s="73">
        <f>+C29+E29+G29+I29+K29+M29</f>
        <v>124</v>
      </c>
      <c r="P29" s="53">
        <f>P16+P20+P24+P28</f>
        <v>51759000</v>
      </c>
    </row>
    <row r="30" spans="2:16" s="9" customFormat="1" ht="12" x14ac:dyDescent="0.2">
      <c r="B30" s="45"/>
      <c r="C30" s="68"/>
      <c r="D30" s="54"/>
      <c r="E30" s="68"/>
      <c r="F30" s="54"/>
      <c r="G30" s="68"/>
      <c r="H30" s="54"/>
      <c r="I30" s="68"/>
      <c r="J30" s="54"/>
      <c r="K30" s="68"/>
      <c r="L30" s="54"/>
      <c r="M30" s="68"/>
      <c r="N30" s="54"/>
      <c r="O30" s="68"/>
      <c r="P30" s="54"/>
    </row>
    <row r="31" spans="2:16" s="15" customFormat="1" ht="12.75" x14ac:dyDescent="0.2">
      <c r="B31" s="55">
        <v>2015</v>
      </c>
      <c r="C31" s="132"/>
      <c r="D31" s="133"/>
      <c r="E31" s="132"/>
      <c r="F31" s="132"/>
      <c r="G31" s="134"/>
      <c r="H31" s="133"/>
      <c r="I31" s="132"/>
      <c r="J31" s="132"/>
      <c r="K31" s="134"/>
      <c r="L31" s="133"/>
      <c r="M31" s="134"/>
      <c r="N31" s="133"/>
      <c r="O31" s="132"/>
      <c r="P31" s="132"/>
    </row>
    <row r="32" spans="2:16" s="15" customFormat="1" ht="12" x14ac:dyDescent="0.2">
      <c r="B32" s="64" t="s">
        <v>14</v>
      </c>
      <c r="C32" s="71">
        <f>'[14]Statistical Data Update'!$C$8</f>
        <v>11</v>
      </c>
      <c r="D32" s="78">
        <f>'[14]Statistical Data Update'!$D$8</f>
        <v>2662200</v>
      </c>
      <c r="E32" s="71">
        <f>'[14]Statistical Data Update'!$E$8</f>
        <v>2</v>
      </c>
      <c r="F32" s="50">
        <f>'[14]Statistical Data Update'!$F$8</f>
        <v>749100</v>
      </c>
      <c r="G32" s="87">
        <f>'[14]Statistical Data Update'!$G$8</f>
        <v>1</v>
      </c>
      <c r="H32" s="78">
        <f>'[14]Statistical Data Update'!$H$8</f>
        <v>334800</v>
      </c>
      <c r="I32" s="71">
        <f>'[14]Statistical Data Update'!$I$8</f>
        <v>0</v>
      </c>
      <c r="J32" s="50">
        <f>'[14]Statistical Data Update'!$J$8</f>
        <v>0</v>
      </c>
      <c r="K32" s="87">
        <f>'[14]Statistical Data Update'!$K$8</f>
        <v>0</v>
      </c>
      <c r="L32" s="78">
        <f>'[14]Statistical Data Update'!$L$8</f>
        <v>0</v>
      </c>
      <c r="M32" s="87">
        <f>'[14]Statistical Data Update'!$M$8</f>
        <v>0</v>
      </c>
      <c r="N32" s="78">
        <f>'[14]Statistical Data Update'!$N$8</f>
        <v>0</v>
      </c>
      <c r="O32" s="71">
        <f>'[16]Statistical Data'!$O$8</f>
        <v>14</v>
      </c>
      <c r="P32" s="50">
        <f>'[16]Statistical Data'!P8</f>
        <v>3746100</v>
      </c>
    </row>
    <row r="33" spans="2:17" s="15" customFormat="1" ht="12" x14ac:dyDescent="0.2">
      <c r="B33" s="64" t="s">
        <v>15</v>
      </c>
      <c r="C33" s="71">
        <f>'[14]Statistical Data Update'!$C$9</f>
        <v>4</v>
      </c>
      <c r="D33" s="78">
        <f>'[14]Statistical Data Update'!$D$9</f>
        <v>1156000</v>
      </c>
      <c r="E33" s="71">
        <f>'[14]Statistical Data Update'!$E$9</f>
        <v>0</v>
      </c>
      <c r="F33" s="50">
        <f>'[14]Statistical Data Update'!$F$9</f>
        <v>0</v>
      </c>
      <c r="G33" s="87">
        <f>'[14]Statistical Data Update'!$G$9</f>
        <v>0</v>
      </c>
      <c r="H33" s="78">
        <f>'[14]Statistical Data Update'!$H$9</f>
        <v>0</v>
      </c>
      <c r="I33" s="71">
        <f>'[14]Statistical Data Update'!$I$9</f>
        <v>0</v>
      </c>
      <c r="J33" s="50">
        <f>'[14]Statistical Data Update'!$J$9</f>
        <v>0</v>
      </c>
      <c r="K33" s="87">
        <f>'[14]Statistical Data Update'!$K$9</f>
        <v>0</v>
      </c>
      <c r="L33" s="78">
        <f>'[14]Statistical Data Update'!$L$9</f>
        <v>0</v>
      </c>
      <c r="M33" s="87">
        <f>'[14]Statistical Data Update'!$M$9</f>
        <v>0</v>
      </c>
      <c r="N33" s="78">
        <f>'[14]Statistical Data Update'!$N$9</f>
        <v>0</v>
      </c>
      <c r="O33" s="71">
        <f>'[16]Statistical Data'!$O$9</f>
        <v>4</v>
      </c>
      <c r="P33" s="50">
        <f>'[16]Statistical Data'!P9</f>
        <v>1156000</v>
      </c>
    </row>
    <row r="34" spans="2:17" s="15" customFormat="1" ht="12" x14ac:dyDescent="0.2">
      <c r="B34" s="64" t="s">
        <v>16</v>
      </c>
      <c r="C34" s="71">
        <f>'[14]Statistical Data Update'!$C$10</f>
        <v>6</v>
      </c>
      <c r="D34" s="78">
        <f>'[14]Statistical Data Update'!$D$10</f>
        <v>1390000</v>
      </c>
      <c r="E34" s="71">
        <f>'[14]Statistical Data Update'!$E$10</f>
        <v>4</v>
      </c>
      <c r="F34" s="50">
        <f>'[14]Statistical Data Update'!$F$10</f>
        <v>1756600</v>
      </c>
      <c r="G34" s="87">
        <f>'[14]Statistical Data Update'!$G$10</f>
        <v>0</v>
      </c>
      <c r="H34" s="78">
        <f>'[14]Statistical Data Update'!$H$10</f>
        <v>0</v>
      </c>
      <c r="I34" s="71">
        <f>'[14]Statistical Data Update'!$I$10</f>
        <v>1</v>
      </c>
      <c r="J34" s="50">
        <f>'[14]Statistical Data Update'!$J$10</f>
        <v>450400</v>
      </c>
      <c r="K34" s="87">
        <f>'[14]Statistical Data Update'!$K$10</f>
        <v>0</v>
      </c>
      <c r="L34" s="78">
        <f>'[14]Statistical Data Update'!$L$10</f>
        <v>0</v>
      </c>
      <c r="M34" s="87">
        <f>'[14]Statistical Data Update'!$M$10</f>
        <v>0</v>
      </c>
      <c r="N34" s="78">
        <f>'[14]Statistical Data Update'!$N$10</f>
        <v>0</v>
      </c>
      <c r="O34" s="71">
        <f>'[16]Statistical Data'!$O$10</f>
        <v>11</v>
      </c>
      <c r="P34" s="50">
        <f>'[16]Statistical Data'!P10</f>
        <v>3597000</v>
      </c>
    </row>
    <row r="35" spans="2:17" s="15" customFormat="1" ht="12" x14ac:dyDescent="0.2">
      <c r="B35" s="51" t="s">
        <v>17</v>
      </c>
      <c r="C35" s="72">
        <f>SUM(C32:C34)</f>
        <v>21</v>
      </c>
      <c r="D35" s="79">
        <f t="shared" ref="D35:P35" si="6">SUM(D32:D34)</f>
        <v>5208200</v>
      </c>
      <c r="E35" s="72">
        <f t="shared" si="6"/>
        <v>6</v>
      </c>
      <c r="F35" s="52">
        <f t="shared" si="6"/>
        <v>2505700</v>
      </c>
      <c r="G35" s="88">
        <f t="shared" si="6"/>
        <v>1</v>
      </c>
      <c r="H35" s="79">
        <f t="shared" si="6"/>
        <v>334800</v>
      </c>
      <c r="I35" s="72">
        <f t="shared" si="6"/>
        <v>1</v>
      </c>
      <c r="J35" s="52">
        <f t="shared" si="6"/>
        <v>450400</v>
      </c>
      <c r="K35" s="88">
        <f t="shared" si="6"/>
        <v>0</v>
      </c>
      <c r="L35" s="79">
        <f t="shared" si="6"/>
        <v>0</v>
      </c>
      <c r="M35" s="88">
        <f t="shared" si="6"/>
        <v>0</v>
      </c>
      <c r="N35" s="79">
        <f t="shared" si="6"/>
        <v>0</v>
      </c>
      <c r="O35" s="72">
        <f t="shared" si="6"/>
        <v>29</v>
      </c>
      <c r="P35" s="52">
        <f t="shared" si="6"/>
        <v>8499100</v>
      </c>
      <c r="Q35" s="20"/>
    </row>
    <row r="36" spans="2:17" s="15" customFormat="1" ht="12" x14ac:dyDescent="0.2">
      <c r="B36" s="64" t="s">
        <v>18</v>
      </c>
      <c r="C36" s="71">
        <f>'[14]Statistical Data Update'!$C$12</f>
        <v>10</v>
      </c>
      <c r="D36" s="78">
        <f>'[14]Statistical Data Update'!$D$12</f>
        <v>3778300</v>
      </c>
      <c r="E36" s="71">
        <f>'[14]Statistical Data Update'!$E$12</f>
        <v>0</v>
      </c>
      <c r="F36" s="50">
        <f>'[14]Statistical Data Update'!$F$12</f>
        <v>0</v>
      </c>
      <c r="G36" s="87">
        <f>'[14]Statistical Data Update'!$G$12</f>
        <v>0</v>
      </c>
      <c r="H36" s="78">
        <f>'[14]Statistical Data Update'!$H$12</f>
        <v>0</v>
      </c>
      <c r="I36" s="71">
        <f>'[14]Statistical Data Update'!$I$12</f>
        <v>1</v>
      </c>
      <c r="J36" s="50">
        <f>'[14]Statistical Data Update'!$J$12</f>
        <v>86500</v>
      </c>
      <c r="K36" s="87">
        <f>'[14]Statistical Data Update'!$K$12</f>
        <v>1</v>
      </c>
      <c r="L36" s="78">
        <f>'[14]Statistical Data Update'!$L$12</f>
        <v>66000</v>
      </c>
      <c r="M36" s="87">
        <f>'[14]Statistical Data Update'!$M$12</f>
        <v>0</v>
      </c>
      <c r="N36" s="78">
        <f>'[14]Statistical Data Update'!$N$12</f>
        <v>0</v>
      </c>
      <c r="O36" s="71">
        <f>'[16]Statistical Data'!$O$12</f>
        <v>12</v>
      </c>
      <c r="P36" s="50">
        <f>'[16]Statistical Data'!P12</f>
        <v>3930800</v>
      </c>
    </row>
    <row r="37" spans="2:17" s="15" customFormat="1" ht="12" x14ac:dyDescent="0.2">
      <c r="B37" s="64" t="s">
        <v>19</v>
      </c>
      <c r="C37" s="71">
        <f>'[14]Statistical Data Update'!$C$13</f>
        <v>5</v>
      </c>
      <c r="D37" s="78">
        <f>'[14]Statistical Data Update'!$D$13</f>
        <v>1186500</v>
      </c>
      <c r="E37" s="71">
        <f>'[14]Statistical Data Update'!$E$13</f>
        <v>1</v>
      </c>
      <c r="F37" s="50">
        <f>'[14]Statistical Data Update'!$F$13</f>
        <v>82000</v>
      </c>
      <c r="G37" s="87">
        <f>'[14]Statistical Data Update'!$G$13</f>
        <v>2</v>
      </c>
      <c r="H37" s="78">
        <f>'[14]Statistical Data Update'!$H$13</f>
        <v>6376400</v>
      </c>
      <c r="I37" s="71">
        <f>'[14]Statistical Data Update'!$I$13</f>
        <v>0</v>
      </c>
      <c r="J37" s="50">
        <f>'[14]Statistical Data Update'!$J$13</f>
        <v>0</v>
      </c>
      <c r="K37" s="87">
        <f>'[14]Statistical Data Update'!$K$13</f>
        <v>0</v>
      </c>
      <c r="L37" s="78">
        <f>'[14]Statistical Data Update'!$L$13</f>
        <v>0</v>
      </c>
      <c r="M37" s="87">
        <f>'[14]Statistical Data Update'!$M$13</f>
        <v>0</v>
      </c>
      <c r="N37" s="78">
        <f>'[14]Statistical Data Update'!$N$13</f>
        <v>0</v>
      </c>
      <c r="O37" s="71">
        <f>'[16]Statistical Data'!$O$13</f>
        <v>8</v>
      </c>
      <c r="P37" s="50">
        <f>'[16]Statistical Data'!P13</f>
        <v>7644900</v>
      </c>
    </row>
    <row r="38" spans="2:17" s="15" customFormat="1" ht="12" x14ac:dyDescent="0.2">
      <c r="B38" s="64" t="s">
        <v>20</v>
      </c>
      <c r="C38" s="71">
        <f>'[14]Statistical Data Update'!$C$14</f>
        <v>6</v>
      </c>
      <c r="D38" s="78">
        <f>'[14]Statistical Data Update'!$D$14</f>
        <v>2110300</v>
      </c>
      <c r="E38" s="71">
        <f>'[14]Statistical Data Update'!$E$14</f>
        <v>3</v>
      </c>
      <c r="F38" s="50">
        <f>'[14]Statistical Data Update'!$F$14</f>
        <v>1587800</v>
      </c>
      <c r="G38" s="87">
        <f>'[14]Statistical Data Update'!$G$14</f>
        <v>0</v>
      </c>
      <c r="H38" s="78">
        <f>'[14]Statistical Data Update'!$H$14</f>
        <v>0</v>
      </c>
      <c r="I38" s="71">
        <f>'[14]Statistical Data Update'!$I$14</f>
        <v>1</v>
      </c>
      <c r="J38" s="50">
        <f>'[14]Statistical Data Update'!$J$14</f>
        <v>57300</v>
      </c>
      <c r="K38" s="87">
        <f>'[14]Statistical Data Update'!$K$14</f>
        <v>1</v>
      </c>
      <c r="L38" s="78">
        <f>'[14]Statistical Data Update'!$L$14</f>
        <v>263700</v>
      </c>
      <c r="M38" s="87">
        <f>'[14]Statistical Data Update'!$M$14</f>
        <v>0</v>
      </c>
      <c r="N38" s="78">
        <f>'[14]Statistical Data Update'!$N$14</f>
        <v>0</v>
      </c>
      <c r="O38" s="71">
        <f>'[16]Statistical Data'!$O$14</f>
        <v>11</v>
      </c>
      <c r="P38" s="50">
        <f>'[16]Statistical Data'!P14</f>
        <v>4019100</v>
      </c>
    </row>
    <row r="39" spans="2:17" s="15" customFormat="1" ht="12" x14ac:dyDescent="0.2">
      <c r="B39" s="51" t="s">
        <v>21</v>
      </c>
      <c r="C39" s="72">
        <f>SUM(C36:C38)</f>
        <v>21</v>
      </c>
      <c r="D39" s="79">
        <f t="shared" ref="D39:P39" si="7">SUM(D36:D38)</f>
        <v>7075100</v>
      </c>
      <c r="E39" s="72">
        <f t="shared" si="7"/>
        <v>4</v>
      </c>
      <c r="F39" s="52">
        <f t="shared" si="7"/>
        <v>1669800</v>
      </c>
      <c r="G39" s="88">
        <f t="shared" si="7"/>
        <v>2</v>
      </c>
      <c r="H39" s="79">
        <f t="shared" si="7"/>
        <v>6376400</v>
      </c>
      <c r="I39" s="72">
        <f t="shared" si="7"/>
        <v>2</v>
      </c>
      <c r="J39" s="52">
        <f t="shared" si="7"/>
        <v>143800</v>
      </c>
      <c r="K39" s="88">
        <f t="shared" si="7"/>
        <v>2</v>
      </c>
      <c r="L39" s="79">
        <f t="shared" si="7"/>
        <v>329700</v>
      </c>
      <c r="M39" s="88">
        <f t="shared" si="7"/>
        <v>0</v>
      </c>
      <c r="N39" s="79">
        <f t="shared" si="7"/>
        <v>0</v>
      </c>
      <c r="O39" s="72">
        <f t="shared" si="7"/>
        <v>31</v>
      </c>
      <c r="P39" s="52">
        <f t="shared" si="7"/>
        <v>15594800</v>
      </c>
    </row>
    <row r="40" spans="2:17" s="15" customFormat="1" ht="12" x14ac:dyDescent="0.2">
      <c r="B40" s="64" t="s">
        <v>22</v>
      </c>
      <c r="C40" s="71">
        <f>'[14]Statistical Data Update'!$C$16</f>
        <v>9</v>
      </c>
      <c r="D40" s="78">
        <f>'[14]Statistical Data Update'!$D$16</f>
        <v>3354600</v>
      </c>
      <c r="E40" s="71">
        <f>'[14]Statistical Data Update'!$E$16</f>
        <v>1</v>
      </c>
      <c r="F40" s="50">
        <f>'[14]Statistical Data Update'!$F$16</f>
        <v>570700</v>
      </c>
      <c r="G40" s="87">
        <f>'[14]Statistical Data Update'!$G$16</f>
        <v>0</v>
      </c>
      <c r="H40" s="78">
        <f>'[14]Statistical Data Update'!$H$16</f>
        <v>0</v>
      </c>
      <c r="I40" s="71">
        <f>'[14]Statistical Data Update'!$I$16</f>
        <v>0</v>
      </c>
      <c r="J40" s="50">
        <f>'[14]Statistical Data Update'!$J$16</f>
        <v>0</v>
      </c>
      <c r="K40" s="87">
        <f>'[14]Statistical Data Update'!$K$16</f>
        <v>1</v>
      </c>
      <c r="L40" s="78">
        <f>'[14]Statistical Data Update'!$L$16</f>
        <v>0</v>
      </c>
      <c r="M40" s="87">
        <f>'[14]Statistical Data Update'!$M$16</f>
        <v>0</v>
      </c>
      <c r="N40" s="78">
        <f>'[14]Statistical Data Update'!$N$16</f>
        <v>0</v>
      </c>
      <c r="O40" s="71">
        <f>'[16]Statistical Data'!$O$16</f>
        <v>11</v>
      </c>
      <c r="P40" s="50">
        <f>'[16]Statistical Data'!P16</f>
        <v>3925300</v>
      </c>
    </row>
    <row r="41" spans="2:17" s="15" customFormat="1" ht="12" x14ac:dyDescent="0.2">
      <c r="B41" s="64" t="s">
        <v>23</v>
      </c>
      <c r="C41" s="71">
        <f>'[14]Statistical Data Update'!$C$17</f>
        <v>5</v>
      </c>
      <c r="D41" s="78">
        <f>'[14]Statistical Data Update'!$D$17</f>
        <v>1731800</v>
      </c>
      <c r="E41" s="71">
        <f>'[14]Statistical Data Update'!$E$17</f>
        <v>1</v>
      </c>
      <c r="F41" s="50">
        <f>'[14]Statistical Data Update'!$F$17</f>
        <v>239000</v>
      </c>
      <c r="G41" s="87">
        <f>'[14]Statistical Data Update'!$G$17</f>
        <v>0</v>
      </c>
      <c r="H41" s="78">
        <f>'[14]Statistical Data Update'!$H$17</f>
        <v>0</v>
      </c>
      <c r="I41" s="71">
        <f>'[14]Statistical Data Update'!$I$17</f>
        <v>1</v>
      </c>
      <c r="J41" s="50">
        <f>'[14]Statistical Data Update'!$J$17</f>
        <v>28800</v>
      </c>
      <c r="K41" s="87">
        <f>'[14]Statistical Data Update'!$K$17</f>
        <v>0</v>
      </c>
      <c r="L41" s="78">
        <f>'[14]Statistical Data Update'!$L$17</f>
        <v>0</v>
      </c>
      <c r="M41" s="87">
        <f>'[14]Statistical Data Update'!$M$17</f>
        <v>0</v>
      </c>
      <c r="N41" s="78">
        <f>'[14]Statistical Data Update'!$N$17</f>
        <v>0</v>
      </c>
      <c r="O41" s="71">
        <f>'[16]Statistical Data'!$O$17</f>
        <v>7</v>
      </c>
      <c r="P41" s="50">
        <f>'[16]Statistical Data'!P17</f>
        <v>1999600</v>
      </c>
    </row>
    <row r="42" spans="2:17" s="15" customFormat="1" ht="12" x14ac:dyDescent="0.2">
      <c r="B42" s="64" t="s">
        <v>36</v>
      </c>
      <c r="C42" s="71">
        <f>'[14]Statistical Data Update'!$C$18</f>
        <v>3</v>
      </c>
      <c r="D42" s="78">
        <f>'[14]Statistical Data Update'!$D$18</f>
        <v>1858500</v>
      </c>
      <c r="E42" s="71">
        <f>'[14]Statistical Data Update'!$E$18</f>
        <v>2</v>
      </c>
      <c r="F42" s="50">
        <f>'[14]Statistical Data Update'!$F$18</f>
        <v>969300</v>
      </c>
      <c r="G42" s="87">
        <f>'[14]Statistical Data Update'!$G$18</f>
        <v>0</v>
      </c>
      <c r="H42" s="78">
        <f>'[14]Statistical Data Update'!$H$18</f>
        <v>0</v>
      </c>
      <c r="I42" s="71">
        <f>'[14]Statistical Data Update'!$I$18</f>
        <v>2</v>
      </c>
      <c r="J42" s="50">
        <f>'[14]Statistical Data Update'!$J$18</f>
        <v>534600</v>
      </c>
      <c r="K42" s="87">
        <f>'[14]Statistical Data Update'!$K$18</f>
        <v>1</v>
      </c>
      <c r="L42" s="78">
        <f>'[14]Statistical Data Update'!$L$18</f>
        <v>40800</v>
      </c>
      <c r="M42" s="87">
        <f>'[14]Statistical Data Update'!$M$18</f>
        <v>0</v>
      </c>
      <c r="N42" s="78">
        <f>'[14]Statistical Data Update'!$N$18</f>
        <v>0</v>
      </c>
      <c r="O42" s="71">
        <f>'[16]Statistical Data'!$O$18</f>
        <v>8</v>
      </c>
      <c r="P42" s="50">
        <f>'[16]Statistical Data'!P18</f>
        <v>3403200</v>
      </c>
    </row>
    <row r="43" spans="2:17" s="15" customFormat="1" ht="12" x14ac:dyDescent="0.2">
      <c r="B43" s="51" t="s">
        <v>24</v>
      </c>
      <c r="C43" s="72">
        <f t="shared" ref="C43:P43" si="8">SUM(C40:C42)</f>
        <v>17</v>
      </c>
      <c r="D43" s="79">
        <f t="shared" si="8"/>
        <v>6944900</v>
      </c>
      <c r="E43" s="72">
        <f t="shared" si="8"/>
        <v>4</v>
      </c>
      <c r="F43" s="52">
        <f t="shared" si="8"/>
        <v>1779000</v>
      </c>
      <c r="G43" s="88">
        <f t="shared" si="8"/>
        <v>0</v>
      </c>
      <c r="H43" s="79">
        <f t="shared" si="8"/>
        <v>0</v>
      </c>
      <c r="I43" s="72">
        <f t="shared" si="8"/>
        <v>3</v>
      </c>
      <c r="J43" s="52">
        <f t="shared" si="8"/>
        <v>563400</v>
      </c>
      <c r="K43" s="88">
        <f t="shared" si="8"/>
        <v>2</v>
      </c>
      <c r="L43" s="79">
        <f t="shared" si="8"/>
        <v>40800</v>
      </c>
      <c r="M43" s="88">
        <f t="shared" si="8"/>
        <v>0</v>
      </c>
      <c r="N43" s="79">
        <f t="shared" si="8"/>
        <v>0</v>
      </c>
      <c r="O43" s="72">
        <f t="shared" si="8"/>
        <v>26</v>
      </c>
      <c r="P43" s="52">
        <f t="shared" si="8"/>
        <v>9328100</v>
      </c>
    </row>
    <row r="44" spans="2:17" s="15" customFormat="1" ht="12" x14ac:dyDescent="0.2">
      <c r="B44" s="64" t="s">
        <v>25</v>
      </c>
      <c r="C44" s="71">
        <f>'[14]Statistical Data Update'!$C$20</f>
        <v>5</v>
      </c>
      <c r="D44" s="78">
        <f>'[14]Statistical Data Update'!$D$20</f>
        <v>717500</v>
      </c>
      <c r="E44" s="71">
        <f>'[14]Statistical Data Update'!$E$20</f>
        <v>0</v>
      </c>
      <c r="F44" s="50">
        <f>'[14]Statistical Data Update'!$F$20</f>
        <v>0</v>
      </c>
      <c r="G44" s="87">
        <f>'[14]Statistical Data Update'!$G$20</f>
        <v>1</v>
      </c>
      <c r="H44" s="78">
        <f>'[14]Statistical Data Update'!$H$20</f>
        <v>371700</v>
      </c>
      <c r="I44" s="71">
        <f>'[14]Statistical Data Update'!$I$20</f>
        <v>1</v>
      </c>
      <c r="J44" s="50">
        <f>'[14]Statistical Data Update'!$J$20</f>
        <v>833600</v>
      </c>
      <c r="K44" s="87">
        <f>'[14]Statistical Data Update'!$K$20</f>
        <v>0</v>
      </c>
      <c r="L44" s="78">
        <f>'[14]Statistical Data Update'!$L$20</f>
        <v>0</v>
      </c>
      <c r="M44" s="87">
        <f>'[14]Statistical Data Update'!$M$20</f>
        <v>1</v>
      </c>
      <c r="N44" s="78">
        <f>'[14]Statistical Data Update'!$N$20</f>
        <v>801800</v>
      </c>
      <c r="O44" s="71">
        <f>'[16]Statistical Data'!$O$20</f>
        <v>8</v>
      </c>
      <c r="P44" s="50">
        <f>'[16]Statistical Data'!P20</f>
        <v>2724600</v>
      </c>
    </row>
    <row r="45" spans="2:17" s="15" customFormat="1" ht="12" x14ac:dyDescent="0.2">
      <c r="B45" s="64" t="s">
        <v>26</v>
      </c>
      <c r="C45" s="71">
        <f>'[14]Statistical Data Update'!$C$21</f>
        <v>2</v>
      </c>
      <c r="D45" s="78">
        <f>'[14]Statistical Data Update'!$D$21</f>
        <v>341500</v>
      </c>
      <c r="E45" s="71">
        <f>'[14]Statistical Data Update'!$E$21</f>
        <v>7</v>
      </c>
      <c r="F45" s="50">
        <f>'[14]Statistical Data Update'!$F$21</f>
        <v>2978200</v>
      </c>
      <c r="G45" s="87">
        <f>'[14]Statistical Data Update'!$G$21</f>
        <v>0</v>
      </c>
      <c r="H45" s="78">
        <f>'[14]Statistical Data Update'!$H$21</f>
        <v>0</v>
      </c>
      <c r="I45" s="71">
        <f>'[14]Statistical Data Update'!$I$21</f>
        <v>1</v>
      </c>
      <c r="J45" s="50">
        <f>'[14]Statistical Data Update'!$J$21</f>
        <v>224000</v>
      </c>
      <c r="K45" s="87">
        <f>'[14]Statistical Data Update'!$K$21</f>
        <v>0</v>
      </c>
      <c r="L45" s="78">
        <f>'[14]Statistical Data Update'!$L$21</f>
        <v>0</v>
      </c>
      <c r="M45" s="87">
        <f>'[14]Statistical Data Update'!$M$21</f>
        <v>0</v>
      </c>
      <c r="N45" s="78">
        <f>'[14]Statistical Data Update'!$N$21</f>
        <v>0</v>
      </c>
      <c r="O45" s="71">
        <f>'[16]Statistical Data'!$O$21</f>
        <v>10</v>
      </c>
      <c r="P45" s="50">
        <f>'[16]Statistical Data'!P21</f>
        <v>3543700</v>
      </c>
    </row>
    <row r="46" spans="2:17" s="15" customFormat="1" ht="12" x14ac:dyDescent="0.2">
      <c r="B46" s="64" t="s">
        <v>27</v>
      </c>
      <c r="C46" s="71">
        <f>'[14]Statistical Data Update'!$C$22</f>
        <v>7</v>
      </c>
      <c r="D46" s="78">
        <f>'[14]Statistical Data Update'!$D$22</f>
        <v>2270800</v>
      </c>
      <c r="E46" s="71">
        <f>'[14]Statistical Data Update'!$E$22</f>
        <v>4</v>
      </c>
      <c r="F46" s="50">
        <f>'[14]Statistical Data Update'!$F$22</f>
        <v>1512800</v>
      </c>
      <c r="G46" s="87">
        <f>'[14]Statistical Data Update'!$G$22</f>
        <v>2</v>
      </c>
      <c r="H46" s="78">
        <f>'[14]Statistical Data Update'!$H$22</f>
        <v>4193000</v>
      </c>
      <c r="I46" s="71">
        <f>'[14]Statistical Data Update'!$I$22</f>
        <v>1</v>
      </c>
      <c r="J46" s="50">
        <f>'[14]Statistical Data Update'!$J$22</f>
        <v>737000</v>
      </c>
      <c r="K46" s="87">
        <f>'[14]Statistical Data Update'!$K$22</f>
        <v>0</v>
      </c>
      <c r="L46" s="78">
        <f>'[14]Statistical Data Update'!$L$22</f>
        <v>0</v>
      </c>
      <c r="M46" s="87">
        <f>'[14]Statistical Data Update'!$M$22</f>
        <v>0</v>
      </c>
      <c r="N46" s="78">
        <f>'[14]Statistical Data Update'!$N$22</f>
        <v>0</v>
      </c>
      <c r="O46" s="71">
        <f>'[16]Statistical Data'!$O$22</f>
        <v>14</v>
      </c>
      <c r="P46" s="50">
        <f>'[16]Statistical Data'!P22</f>
        <v>8713600</v>
      </c>
    </row>
    <row r="47" spans="2:17" s="15" customFormat="1" ht="12" x14ac:dyDescent="0.2">
      <c r="B47" s="51" t="s">
        <v>28</v>
      </c>
      <c r="C47" s="72">
        <f t="shared" ref="C47:P47" si="9">SUM(C44:C46)</f>
        <v>14</v>
      </c>
      <c r="D47" s="79">
        <f t="shared" si="9"/>
        <v>3329800</v>
      </c>
      <c r="E47" s="72">
        <f t="shared" si="9"/>
        <v>11</v>
      </c>
      <c r="F47" s="52">
        <f t="shared" si="9"/>
        <v>4491000</v>
      </c>
      <c r="G47" s="88">
        <f t="shared" si="9"/>
        <v>3</v>
      </c>
      <c r="H47" s="79">
        <f t="shared" si="9"/>
        <v>4564700</v>
      </c>
      <c r="I47" s="72">
        <f t="shared" si="9"/>
        <v>3</v>
      </c>
      <c r="J47" s="52">
        <f t="shared" si="9"/>
        <v>1794600</v>
      </c>
      <c r="K47" s="88">
        <f t="shared" si="9"/>
        <v>0</v>
      </c>
      <c r="L47" s="79">
        <f t="shared" si="9"/>
        <v>0</v>
      </c>
      <c r="M47" s="88">
        <f t="shared" si="9"/>
        <v>1</v>
      </c>
      <c r="N47" s="79">
        <f t="shared" si="9"/>
        <v>801800</v>
      </c>
      <c r="O47" s="72">
        <f t="shared" si="9"/>
        <v>32</v>
      </c>
      <c r="P47" s="52">
        <f t="shared" si="9"/>
        <v>14981900</v>
      </c>
    </row>
    <row r="48" spans="2:17" s="15" customFormat="1" ht="12" x14ac:dyDescent="0.2">
      <c r="B48" s="45" t="s">
        <v>35</v>
      </c>
      <c r="C48" s="73">
        <f t="shared" ref="C48:N48" si="10">+C35+C39+C43+C47</f>
        <v>73</v>
      </c>
      <c r="D48" s="80">
        <f t="shared" si="10"/>
        <v>22558000</v>
      </c>
      <c r="E48" s="73">
        <f t="shared" si="10"/>
        <v>25</v>
      </c>
      <c r="F48" s="53">
        <f t="shared" si="10"/>
        <v>10445500</v>
      </c>
      <c r="G48" s="89">
        <f t="shared" si="10"/>
        <v>6</v>
      </c>
      <c r="H48" s="80">
        <f t="shared" si="10"/>
        <v>11275900</v>
      </c>
      <c r="I48" s="73">
        <f t="shared" si="10"/>
        <v>9</v>
      </c>
      <c r="J48" s="53">
        <f t="shared" si="10"/>
        <v>2952200</v>
      </c>
      <c r="K48" s="89">
        <f t="shared" si="10"/>
        <v>4</v>
      </c>
      <c r="L48" s="80">
        <f t="shared" si="10"/>
        <v>370500</v>
      </c>
      <c r="M48" s="89">
        <f t="shared" si="10"/>
        <v>1</v>
      </c>
      <c r="N48" s="80">
        <f t="shared" si="10"/>
        <v>801800</v>
      </c>
      <c r="O48" s="73">
        <f>+C48+E48+G48+I48+K48+M48</f>
        <v>118</v>
      </c>
      <c r="P48" s="53">
        <f>P35+P39+P43+P47</f>
        <v>48403900</v>
      </c>
    </row>
    <row r="49" spans="2:16" s="15" customFormat="1" x14ac:dyDescent="0.2">
      <c r="B49" s="54"/>
      <c r="C49" s="54"/>
      <c r="D49" s="54"/>
      <c r="E49" s="54"/>
      <c r="F49" s="54"/>
      <c r="G49" s="68"/>
      <c r="H49" s="54"/>
      <c r="I49" s="68"/>
      <c r="J49" s="54"/>
      <c r="K49" s="68"/>
      <c r="L49" s="54"/>
      <c r="M49" s="68"/>
      <c r="N49" s="54"/>
      <c r="O49" s="68"/>
      <c r="P49" s="54"/>
    </row>
    <row r="50" spans="2:16" s="15" customFormat="1" ht="12" x14ac:dyDescent="0.2">
      <c r="B50" s="57" t="s">
        <v>57</v>
      </c>
      <c r="C50" s="70"/>
      <c r="D50" s="82"/>
      <c r="E50" s="70"/>
      <c r="F50" s="74"/>
      <c r="G50" s="91"/>
      <c r="H50" s="82"/>
      <c r="I50" s="70"/>
      <c r="J50" s="74"/>
      <c r="K50" s="91"/>
      <c r="L50" s="82"/>
      <c r="M50" s="91"/>
      <c r="N50" s="82"/>
      <c r="O50" s="70"/>
      <c r="P50" s="74"/>
    </row>
    <row r="51" spans="2:16" s="15" customFormat="1" ht="12" x14ac:dyDescent="0.2">
      <c r="B51" s="64" t="s">
        <v>14</v>
      </c>
      <c r="C51" s="50">
        <f>+IF(C13=0,0,((C32-C13)/C13*100))</f>
        <v>83.333333333333343</v>
      </c>
      <c r="D51" s="78">
        <f t="shared" ref="D51:P51" si="11">+IF(D13=0,0,((D32-D13)/D13*100))</f>
        <v>104.87917500384793</v>
      </c>
      <c r="E51" s="50">
        <f t="shared" si="11"/>
        <v>-50</v>
      </c>
      <c r="F51" s="50">
        <f t="shared" si="11"/>
        <v>-52.573599240265914</v>
      </c>
      <c r="G51" s="92">
        <f t="shared" si="11"/>
        <v>0</v>
      </c>
      <c r="H51" s="78">
        <f t="shared" si="11"/>
        <v>-83.840139009556907</v>
      </c>
      <c r="I51" s="50">
        <f t="shared" si="11"/>
        <v>-100</v>
      </c>
      <c r="J51" s="50">
        <f t="shared" si="11"/>
        <v>-100</v>
      </c>
      <c r="K51" s="92">
        <f t="shared" si="11"/>
        <v>0</v>
      </c>
      <c r="L51" s="78">
        <f t="shared" si="11"/>
        <v>0</v>
      </c>
      <c r="M51" s="92">
        <f t="shared" si="11"/>
        <v>0</v>
      </c>
      <c r="N51" s="78">
        <f t="shared" si="11"/>
        <v>0</v>
      </c>
      <c r="O51" s="50">
        <f t="shared" si="11"/>
        <v>0</v>
      </c>
      <c r="P51" s="50">
        <f t="shared" si="11"/>
        <v>-28.928645961790206</v>
      </c>
    </row>
    <row r="52" spans="2:16" s="15" customFormat="1" ht="12" x14ac:dyDescent="0.2">
      <c r="B52" s="64" t="s">
        <v>15</v>
      </c>
      <c r="C52" s="50">
        <f t="shared" ref="C52:P67" si="12">+IF(C14=0,0,((C33-C14)/C14*100))</f>
        <v>-60</v>
      </c>
      <c r="D52" s="78">
        <f t="shared" si="12"/>
        <v>-37.204628171003314</v>
      </c>
      <c r="E52" s="50">
        <f t="shared" si="12"/>
        <v>-100</v>
      </c>
      <c r="F52" s="50">
        <f t="shared" si="12"/>
        <v>-100</v>
      </c>
      <c r="G52" s="92">
        <f t="shared" si="12"/>
        <v>0</v>
      </c>
      <c r="H52" s="78">
        <f t="shared" si="12"/>
        <v>0</v>
      </c>
      <c r="I52" s="50">
        <f t="shared" si="12"/>
        <v>-100</v>
      </c>
      <c r="J52" s="50">
        <f t="shared" si="12"/>
        <v>-100</v>
      </c>
      <c r="K52" s="92">
        <f t="shared" si="12"/>
        <v>0</v>
      </c>
      <c r="L52" s="78">
        <f t="shared" si="12"/>
        <v>0</v>
      </c>
      <c r="M52" s="92">
        <f t="shared" si="12"/>
        <v>-100</v>
      </c>
      <c r="N52" s="78">
        <f t="shared" si="12"/>
        <v>-100</v>
      </c>
      <c r="O52" s="50">
        <f t="shared" si="12"/>
        <v>-69.230769230769226</v>
      </c>
      <c r="P52" s="50">
        <f t="shared" si="12"/>
        <v>-71.897410963899361</v>
      </c>
    </row>
    <row r="53" spans="2:16" s="15" customFormat="1" ht="12" x14ac:dyDescent="0.2">
      <c r="B53" s="64" t="s">
        <v>16</v>
      </c>
      <c r="C53" s="50">
        <f t="shared" si="12"/>
        <v>50</v>
      </c>
      <c r="D53" s="78">
        <f t="shared" si="12"/>
        <v>130.78200232442305</v>
      </c>
      <c r="E53" s="50">
        <f t="shared" si="12"/>
        <v>300</v>
      </c>
      <c r="F53" s="50">
        <f t="shared" si="12"/>
        <v>594.30830039525699</v>
      </c>
      <c r="G53" s="92">
        <f t="shared" si="12"/>
        <v>-100</v>
      </c>
      <c r="H53" s="78">
        <f t="shared" si="12"/>
        <v>-100</v>
      </c>
      <c r="I53" s="50">
        <f t="shared" si="12"/>
        <v>-66.666666666666657</v>
      </c>
      <c r="J53" s="50">
        <f t="shared" si="12"/>
        <v>-59.006098115955218</v>
      </c>
      <c r="K53" s="92">
        <f t="shared" si="12"/>
        <v>-100</v>
      </c>
      <c r="L53" s="78">
        <f t="shared" si="12"/>
        <v>0</v>
      </c>
      <c r="M53" s="92">
        <f t="shared" si="12"/>
        <v>0</v>
      </c>
      <c r="N53" s="78">
        <f t="shared" si="12"/>
        <v>0</v>
      </c>
      <c r="O53" s="50">
        <f t="shared" si="12"/>
        <v>10</v>
      </c>
      <c r="P53" s="50">
        <f t="shared" si="12"/>
        <v>45.157384987893465</v>
      </c>
    </row>
    <row r="54" spans="2:16" s="15" customFormat="1" ht="12" x14ac:dyDescent="0.2">
      <c r="B54" s="51" t="s">
        <v>17</v>
      </c>
      <c r="C54" s="67">
        <f t="shared" si="12"/>
        <v>5</v>
      </c>
      <c r="D54" s="83">
        <f t="shared" si="12"/>
        <v>39.15994228611126</v>
      </c>
      <c r="E54" s="67">
        <f t="shared" si="12"/>
        <v>0</v>
      </c>
      <c r="F54" s="67">
        <f t="shared" si="12"/>
        <v>22.480203343435331</v>
      </c>
      <c r="G54" s="93">
        <f t="shared" si="12"/>
        <v>-50</v>
      </c>
      <c r="H54" s="83">
        <f t="shared" si="12"/>
        <v>-87.102242083365439</v>
      </c>
      <c r="I54" s="67">
        <f t="shared" si="12"/>
        <v>-85.714285714285708</v>
      </c>
      <c r="J54" s="67">
        <f t="shared" si="12"/>
        <v>-69.790059695485951</v>
      </c>
      <c r="K54" s="93">
        <f t="shared" si="12"/>
        <v>-100</v>
      </c>
      <c r="L54" s="83">
        <f t="shared" si="12"/>
        <v>0</v>
      </c>
      <c r="M54" s="93">
        <f t="shared" si="12"/>
        <v>-100</v>
      </c>
      <c r="N54" s="83">
        <f t="shared" si="12"/>
        <v>-100</v>
      </c>
      <c r="O54" s="67">
        <f t="shared" si="12"/>
        <v>-21.621621621621621</v>
      </c>
      <c r="P54" s="67">
        <f t="shared" si="12"/>
        <v>-28.352609927164824</v>
      </c>
    </row>
    <row r="55" spans="2:16" s="15" customFormat="1" ht="12" x14ac:dyDescent="0.2">
      <c r="B55" s="64" t="s">
        <v>18</v>
      </c>
      <c r="C55" s="50">
        <f t="shared" si="12"/>
        <v>0</v>
      </c>
      <c r="D55" s="78">
        <f t="shared" si="12"/>
        <v>59.206977920107875</v>
      </c>
      <c r="E55" s="50">
        <f t="shared" si="12"/>
        <v>-100</v>
      </c>
      <c r="F55" s="50">
        <f t="shared" si="12"/>
        <v>-100</v>
      </c>
      <c r="G55" s="92">
        <f t="shared" si="12"/>
        <v>0</v>
      </c>
      <c r="H55" s="78">
        <f t="shared" si="12"/>
        <v>0</v>
      </c>
      <c r="I55" s="50">
        <f t="shared" si="12"/>
        <v>0</v>
      </c>
      <c r="J55" s="50">
        <f t="shared" si="12"/>
        <v>0</v>
      </c>
      <c r="K55" s="92">
        <f t="shared" si="12"/>
        <v>0</v>
      </c>
      <c r="L55" s="78">
        <f t="shared" si="12"/>
        <v>0</v>
      </c>
      <c r="M55" s="92">
        <f t="shared" si="12"/>
        <v>0</v>
      </c>
      <c r="N55" s="78">
        <f t="shared" si="12"/>
        <v>0</v>
      </c>
      <c r="O55" s="50">
        <f t="shared" si="12"/>
        <v>0</v>
      </c>
      <c r="P55" s="50">
        <f t="shared" si="12"/>
        <v>34.533506742419057</v>
      </c>
    </row>
    <row r="56" spans="2:16" s="15" customFormat="1" ht="12" x14ac:dyDescent="0.2">
      <c r="B56" s="64" t="s">
        <v>19</v>
      </c>
      <c r="C56" s="50">
        <f t="shared" si="12"/>
        <v>-44.444444444444443</v>
      </c>
      <c r="D56" s="78">
        <f t="shared" si="12"/>
        <v>-28.717332532291977</v>
      </c>
      <c r="E56" s="50">
        <f t="shared" si="12"/>
        <v>0</v>
      </c>
      <c r="F56" s="50">
        <f t="shared" si="12"/>
        <v>-65.875988347898456</v>
      </c>
      <c r="G56" s="92">
        <f t="shared" si="12"/>
        <v>-33.333333333333329</v>
      </c>
      <c r="H56" s="78">
        <f t="shared" si="12"/>
        <v>31.741079729757647</v>
      </c>
      <c r="I56" s="50">
        <f t="shared" si="12"/>
        <v>-100</v>
      </c>
      <c r="J56" s="50">
        <f t="shared" si="12"/>
        <v>-100</v>
      </c>
      <c r="K56" s="92">
        <f t="shared" si="12"/>
        <v>-100</v>
      </c>
      <c r="L56" s="78">
        <f t="shared" si="12"/>
        <v>-100</v>
      </c>
      <c r="M56" s="92">
        <f>+IF(M18=0,0,((M37-M18)/M18*100))</f>
        <v>0</v>
      </c>
      <c r="N56" s="78">
        <f t="shared" si="12"/>
        <v>0</v>
      </c>
      <c r="O56" s="50">
        <f t="shared" si="12"/>
        <v>-46.666666666666664</v>
      </c>
      <c r="P56" s="50">
        <f t="shared" si="12"/>
        <v>9.400400686891814</v>
      </c>
    </row>
    <row r="57" spans="2:16" s="15" customFormat="1" ht="12" x14ac:dyDescent="0.2">
      <c r="B57" s="64" t="s">
        <v>20</v>
      </c>
      <c r="C57" s="50">
        <f t="shared" si="12"/>
        <v>100</v>
      </c>
      <c r="D57" s="78">
        <f t="shared" si="12"/>
        <v>196.39044943820224</v>
      </c>
      <c r="E57" s="50">
        <f t="shared" si="12"/>
        <v>0</v>
      </c>
      <c r="F57" s="50">
        <f t="shared" si="12"/>
        <v>134.91640775262613</v>
      </c>
      <c r="G57" s="92">
        <f t="shared" si="12"/>
        <v>-100</v>
      </c>
      <c r="H57" s="78">
        <f t="shared" si="12"/>
        <v>-100</v>
      </c>
      <c r="I57" s="50">
        <f t="shared" si="12"/>
        <v>0</v>
      </c>
      <c r="J57" s="50">
        <f t="shared" si="12"/>
        <v>0</v>
      </c>
      <c r="K57" s="92">
        <f t="shared" si="12"/>
        <v>0</v>
      </c>
      <c r="L57" s="78">
        <f t="shared" si="12"/>
        <v>-86.157480314960637</v>
      </c>
      <c r="M57" s="92">
        <f t="shared" si="12"/>
        <v>0</v>
      </c>
      <c r="N57" s="78">
        <f t="shared" si="12"/>
        <v>0</v>
      </c>
      <c r="O57" s="50">
        <f t="shared" si="12"/>
        <v>37.5</v>
      </c>
      <c r="P57" s="50">
        <f t="shared" si="12"/>
        <v>-10.765985790408527</v>
      </c>
    </row>
    <row r="58" spans="2:16" s="15" customFormat="1" ht="12" x14ac:dyDescent="0.2">
      <c r="B58" s="51" t="s">
        <v>21</v>
      </c>
      <c r="C58" s="67">
        <f t="shared" si="12"/>
        <v>-4.5454545454545459</v>
      </c>
      <c r="D58" s="83">
        <f t="shared" si="12"/>
        <v>48.958881613575592</v>
      </c>
      <c r="E58" s="67">
        <f t="shared" si="12"/>
        <v>-33.333333333333329</v>
      </c>
      <c r="F58" s="67">
        <f t="shared" si="12"/>
        <v>13.995084653194976</v>
      </c>
      <c r="G58" s="93">
        <f t="shared" si="12"/>
        <v>-50</v>
      </c>
      <c r="H58" s="83">
        <f t="shared" si="12"/>
        <v>5.3741406663141191</v>
      </c>
      <c r="I58" s="67">
        <f t="shared" si="12"/>
        <v>100</v>
      </c>
      <c r="J58" s="67">
        <f t="shared" si="12"/>
        <v>252.45098039215685</v>
      </c>
      <c r="K58" s="93">
        <f t="shared" si="12"/>
        <v>0</v>
      </c>
      <c r="L58" s="83">
        <f t="shared" si="12"/>
        <v>-84.354387130451286</v>
      </c>
      <c r="M58" s="93">
        <f t="shared" si="12"/>
        <v>0</v>
      </c>
      <c r="N58" s="83">
        <f t="shared" si="12"/>
        <v>0</v>
      </c>
      <c r="O58" s="67">
        <f t="shared" si="12"/>
        <v>-11.428571428571429</v>
      </c>
      <c r="P58" s="67">
        <f t="shared" si="12"/>
        <v>8.1935367495039468</v>
      </c>
    </row>
    <row r="59" spans="2:16" s="15" customFormat="1" ht="12" x14ac:dyDescent="0.2">
      <c r="B59" s="64" t="s">
        <v>22</v>
      </c>
      <c r="C59" s="50">
        <f t="shared" si="12"/>
        <v>80</v>
      </c>
      <c r="D59" s="78">
        <f t="shared" si="12"/>
        <v>281.94238870545377</v>
      </c>
      <c r="E59" s="50">
        <f t="shared" si="12"/>
        <v>0</v>
      </c>
      <c r="F59" s="50">
        <f t="shared" si="12"/>
        <v>0</v>
      </c>
      <c r="G59" s="92">
        <f t="shared" si="12"/>
        <v>-100</v>
      </c>
      <c r="H59" s="78">
        <f t="shared" si="12"/>
        <v>-100</v>
      </c>
      <c r="I59" s="50">
        <f t="shared" si="12"/>
        <v>-100</v>
      </c>
      <c r="J59" s="50">
        <f t="shared" si="12"/>
        <v>-100</v>
      </c>
      <c r="K59" s="92">
        <f t="shared" si="12"/>
        <v>0</v>
      </c>
      <c r="L59" s="78">
        <f t="shared" si="12"/>
        <v>0</v>
      </c>
      <c r="M59" s="92">
        <f t="shared" si="12"/>
        <v>0</v>
      </c>
      <c r="N59" s="78">
        <f t="shared" si="12"/>
        <v>0</v>
      </c>
      <c r="O59" s="50">
        <f t="shared" si="12"/>
        <v>22.222222222222221</v>
      </c>
      <c r="P59" s="50">
        <f t="shared" si="12"/>
        <v>15.45</v>
      </c>
    </row>
    <row r="60" spans="2:16" s="15" customFormat="1" ht="12" x14ac:dyDescent="0.2">
      <c r="B60" s="64" t="s">
        <v>23</v>
      </c>
      <c r="C60" s="50">
        <f t="shared" si="12"/>
        <v>150</v>
      </c>
      <c r="D60" s="78">
        <f t="shared" si="12"/>
        <v>377.73793103448276</v>
      </c>
      <c r="E60" s="50">
        <f t="shared" si="12"/>
        <v>0</v>
      </c>
      <c r="F60" s="50">
        <f t="shared" si="12"/>
        <v>0</v>
      </c>
      <c r="G60" s="92">
        <f t="shared" si="12"/>
        <v>0</v>
      </c>
      <c r="H60" s="78">
        <f t="shared" si="12"/>
        <v>0</v>
      </c>
      <c r="I60" s="50">
        <f t="shared" si="12"/>
        <v>0</v>
      </c>
      <c r="J60" s="50">
        <f t="shared" si="12"/>
        <v>-92.807192807192806</v>
      </c>
      <c r="K60" s="92">
        <f t="shared" si="12"/>
        <v>0</v>
      </c>
      <c r="L60" s="78">
        <f t="shared" si="12"/>
        <v>0</v>
      </c>
      <c r="M60" s="92">
        <f t="shared" si="12"/>
        <v>-100</v>
      </c>
      <c r="N60" s="78">
        <f t="shared" si="12"/>
        <v>0</v>
      </c>
      <c r="O60" s="50">
        <f t="shared" si="12"/>
        <v>75</v>
      </c>
      <c r="P60" s="50">
        <f t="shared" si="12"/>
        <v>162.10512518023333</v>
      </c>
    </row>
    <row r="61" spans="2:16" s="15" customFormat="1" ht="12" x14ac:dyDescent="0.2">
      <c r="B61" s="64" t="s">
        <v>36</v>
      </c>
      <c r="C61" s="50">
        <f t="shared" si="12"/>
        <v>50</v>
      </c>
      <c r="D61" s="78">
        <f t="shared" si="12"/>
        <v>935.953177257525</v>
      </c>
      <c r="E61" s="50">
        <f t="shared" si="12"/>
        <v>100</v>
      </c>
      <c r="F61" s="50">
        <f t="shared" si="12"/>
        <v>120.89790337283502</v>
      </c>
      <c r="G61" s="92">
        <f t="shared" si="12"/>
        <v>-100</v>
      </c>
      <c r="H61" s="78">
        <f t="shared" si="12"/>
        <v>-100</v>
      </c>
      <c r="I61" s="50">
        <f t="shared" si="12"/>
        <v>-60</v>
      </c>
      <c r="J61" s="50">
        <f t="shared" si="12"/>
        <v>-83.838200616724095</v>
      </c>
      <c r="K61" s="92">
        <f t="shared" si="12"/>
        <v>0</v>
      </c>
      <c r="L61" s="78">
        <f t="shared" si="12"/>
        <v>0</v>
      </c>
      <c r="M61" s="92">
        <f t="shared" si="12"/>
        <v>-100</v>
      </c>
      <c r="N61" s="78">
        <f t="shared" si="12"/>
        <v>-100</v>
      </c>
      <c r="O61" s="50">
        <f t="shared" si="12"/>
        <v>-27.27272727272727</v>
      </c>
      <c r="P61" s="50">
        <f t="shared" si="12"/>
        <v>-49.055417502469986</v>
      </c>
    </row>
    <row r="62" spans="2:16" s="15" customFormat="1" ht="12" x14ac:dyDescent="0.2">
      <c r="B62" s="51" t="s">
        <v>24</v>
      </c>
      <c r="C62" s="67">
        <f t="shared" si="12"/>
        <v>88.888888888888886</v>
      </c>
      <c r="D62" s="83">
        <f t="shared" si="12"/>
        <v>389.00859033938883</v>
      </c>
      <c r="E62" s="67">
        <f t="shared" si="12"/>
        <v>300</v>
      </c>
      <c r="F62" s="67">
        <f t="shared" si="12"/>
        <v>305.42388331814038</v>
      </c>
      <c r="G62" s="93">
        <f t="shared" si="12"/>
        <v>-100</v>
      </c>
      <c r="H62" s="83">
        <f t="shared" si="12"/>
        <v>-100</v>
      </c>
      <c r="I62" s="67">
        <f t="shared" si="12"/>
        <v>-66.666666666666657</v>
      </c>
      <c r="J62" s="67">
        <f t="shared" si="12"/>
        <v>-90.853747625773138</v>
      </c>
      <c r="K62" s="93">
        <f t="shared" si="12"/>
        <v>0</v>
      </c>
      <c r="L62" s="83">
        <f t="shared" si="12"/>
        <v>0</v>
      </c>
      <c r="M62" s="93">
        <f t="shared" si="12"/>
        <v>-100</v>
      </c>
      <c r="N62" s="83">
        <f t="shared" si="12"/>
        <v>-100</v>
      </c>
      <c r="O62" s="67">
        <f t="shared" si="12"/>
        <v>8.3333333333333321</v>
      </c>
      <c r="P62" s="67">
        <f t="shared" si="12"/>
        <v>-13.972019072036595</v>
      </c>
    </row>
    <row r="63" spans="2:16" s="15" customFormat="1" ht="12" x14ac:dyDescent="0.2">
      <c r="B63" s="64" t="s">
        <v>25</v>
      </c>
      <c r="C63" s="50">
        <f t="shared" si="12"/>
        <v>-50</v>
      </c>
      <c r="D63" s="78">
        <f t="shared" si="12"/>
        <v>-81.790726594421741</v>
      </c>
      <c r="E63" s="50">
        <f t="shared" si="12"/>
        <v>-100</v>
      </c>
      <c r="F63" s="50">
        <f t="shared" si="12"/>
        <v>-100</v>
      </c>
      <c r="G63" s="92">
        <f t="shared" si="12"/>
        <v>0</v>
      </c>
      <c r="H63" s="78">
        <f t="shared" si="12"/>
        <v>0</v>
      </c>
      <c r="I63" s="50">
        <f t="shared" si="12"/>
        <v>-50</v>
      </c>
      <c r="J63" s="50">
        <f t="shared" si="12"/>
        <v>1647.5890985324947</v>
      </c>
      <c r="K63" s="92">
        <f t="shared" si="12"/>
        <v>0</v>
      </c>
      <c r="L63" s="78">
        <f t="shared" si="12"/>
        <v>0</v>
      </c>
      <c r="M63" s="92">
        <f t="shared" si="12"/>
        <v>0</v>
      </c>
      <c r="N63" s="78">
        <f t="shared" si="12"/>
        <v>0</v>
      </c>
      <c r="O63" s="50">
        <f t="shared" si="12"/>
        <v>-42.857142857142854</v>
      </c>
      <c r="P63" s="50">
        <f t="shared" si="12"/>
        <v>-38.395098017048404</v>
      </c>
    </row>
    <row r="64" spans="2:16" s="15" customFormat="1" ht="12" x14ac:dyDescent="0.2">
      <c r="B64" s="64" t="s">
        <v>26</v>
      </c>
      <c r="C64" s="50">
        <f t="shared" si="12"/>
        <v>0</v>
      </c>
      <c r="D64" s="78">
        <f t="shared" si="12"/>
        <v>-69.339199138085831</v>
      </c>
      <c r="E64" s="50">
        <f t="shared" si="12"/>
        <v>600</v>
      </c>
      <c r="F64" s="50">
        <f t="shared" si="12"/>
        <v>2417.4978867286559</v>
      </c>
      <c r="G64" s="92">
        <f t="shared" si="12"/>
        <v>-100</v>
      </c>
      <c r="H64" s="78">
        <f t="shared" si="12"/>
        <v>-100</v>
      </c>
      <c r="I64" s="50">
        <f t="shared" si="12"/>
        <v>0</v>
      </c>
      <c r="J64" s="50">
        <f t="shared" si="12"/>
        <v>0</v>
      </c>
      <c r="K64" s="92">
        <f t="shared" si="12"/>
        <v>0</v>
      </c>
      <c r="L64" s="78">
        <f t="shared" si="12"/>
        <v>0</v>
      </c>
      <c r="M64" s="92">
        <f t="shared" si="12"/>
        <v>0</v>
      </c>
      <c r="N64" s="78">
        <f t="shared" si="12"/>
        <v>0</v>
      </c>
      <c r="O64" s="50">
        <f t="shared" si="12"/>
        <v>150</v>
      </c>
      <c r="P64" s="50">
        <f t="shared" si="12"/>
        <v>-57.566577258358073</v>
      </c>
    </row>
    <row r="65" spans="1:18" s="15" customFormat="1" ht="12" x14ac:dyDescent="0.2">
      <c r="B65" s="64" t="s">
        <v>27</v>
      </c>
      <c r="C65" s="50">
        <f t="shared" si="12"/>
        <v>-22.222222222222221</v>
      </c>
      <c r="D65" s="78">
        <f t="shared" si="12"/>
        <v>46.04154608013377</v>
      </c>
      <c r="E65" s="50">
        <f t="shared" si="12"/>
        <v>300</v>
      </c>
      <c r="F65" s="50">
        <f t="shared" si="12"/>
        <v>386.58732711482793</v>
      </c>
      <c r="G65" s="92">
        <f t="shared" si="12"/>
        <v>0</v>
      </c>
      <c r="H65" s="78">
        <f t="shared" si="12"/>
        <v>0</v>
      </c>
      <c r="I65" s="50">
        <f t="shared" si="12"/>
        <v>0</v>
      </c>
      <c r="J65" s="50">
        <f t="shared" si="12"/>
        <v>0</v>
      </c>
      <c r="K65" s="92">
        <f t="shared" si="12"/>
        <v>0</v>
      </c>
      <c r="L65" s="78">
        <f t="shared" si="12"/>
        <v>0</v>
      </c>
      <c r="M65" s="92">
        <f t="shared" si="12"/>
        <v>0</v>
      </c>
      <c r="N65" s="78">
        <f>+IF(N27=0,0,((N46-N27)/N27*100))</f>
        <v>0</v>
      </c>
      <c r="O65" s="50">
        <f t="shared" si="12"/>
        <v>40</v>
      </c>
      <c r="P65" s="50">
        <f t="shared" si="12"/>
        <v>367.01682924214816</v>
      </c>
    </row>
    <row r="66" spans="1:18" s="15" customFormat="1" ht="12" x14ac:dyDescent="0.2">
      <c r="B66" s="51" t="s">
        <v>28</v>
      </c>
      <c r="C66" s="67">
        <f t="shared" si="12"/>
        <v>-33.333333333333329</v>
      </c>
      <c r="D66" s="83">
        <f t="shared" si="12"/>
        <v>-49.617188682100164</v>
      </c>
      <c r="E66" s="67">
        <f t="shared" si="12"/>
        <v>175</v>
      </c>
      <c r="F66" s="67">
        <f t="shared" si="12"/>
        <v>419.85183470309062</v>
      </c>
      <c r="G66" s="93">
        <f t="shared" si="12"/>
        <v>200</v>
      </c>
      <c r="H66" s="83">
        <f t="shared" si="12"/>
        <v>-35.880940006461493</v>
      </c>
      <c r="I66" s="67">
        <f t="shared" si="12"/>
        <v>50</v>
      </c>
      <c r="J66" s="67">
        <f t="shared" si="12"/>
        <v>3662.2641509433961</v>
      </c>
      <c r="K66" s="93">
        <f t="shared" si="12"/>
        <v>0</v>
      </c>
      <c r="L66" s="83">
        <f t="shared" si="12"/>
        <v>0</v>
      </c>
      <c r="M66" s="93">
        <f t="shared" si="12"/>
        <v>0</v>
      </c>
      <c r="N66" s="83">
        <f>+IF(N28=0,0,((N47-N28)/N28*100))</f>
        <v>0</v>
      </c>
      <c r="O66" s="67">
        <f t="shared" si="12"/>
        <v>14.285714285714285</v>
      </c>
      <c r="P66" s="67">
        <f t="shared" si="12"/>
        <v>2.3374795931610617</v>
      </c>
    </row>
    <row r="67" spans="1:18" s="15" customFormat="1" ht="12.75" thickBot="1" x14ac:dyDescent="0.25">
      <c r="B67" s="65" t="s">
        <v>35</v>
      </c>
      <c r="C67" s="66">
        <f t="shared" si="12"/>
        <v>1.3888888888888888</v>
      </c>
      <c r="D67" s="84">
        <f t="shared" si="12"/>
        <v>36.537239354780141</v>
      </c>
      <c r="E67" s="66">
        <f t="shared" si="12"/>
        <v>47.058823529411761</v>
      </c>
      <c r="F67" s="66">
        <f t="shared" si="12"/>
        <v>117.01327571520579</v>
      </c>
      <c r="G67" s="94">
        <f t="shared" si="12"/>
        <v>-33.333333333333329</v>
      </c>
      <c r="H67" s="84">
        <f t="shared" si="12"/>
        <v>-39.290386841467686</v>
      </c>
      <c r="I67" s="66">
        <f t="shared" si="12"/>
        <v>-52.631578947368418</v>
      </c>
      <c r="J67" s="66">
        <f t="shared" si="12"/>
        <v>-61.854431279314667</v>
      </c>
      <c r="K67" s="94">
        <f>+IF(K29=0,0,((K48-K29)/K29*100))</f>
        <v>33.333333333333329</v>
      </c>
      <c r="L67" s="84">
        <f t="shared" si="12"/>
        <v>-82.418260333127705</v>
      </c>
      <c r="M67" s="94">
        <f t="shared" si="12"/>
        <v>-75</v>
      </c>
      <c r="N67" s="84">
        <f t="shared" si="12"/>
        <v>-59.992016366448773</v>
      </c>
      <c r="O67" s="66">
        <f t="shared" si="12"/>
        <v>-4.838709677419355</v>
      </c>
      <c r="P67" s="66">
        <f t="shared" si="12"/>
        <v>-6.4821576923820015</v>
      </c>
    </row>
    <row r="68" spans="1:18" s="15" customFormat="1" ht="14.25" x14ac:dyDescent="0.3">
      <c r="B68" s="16"/>
      <c r="C68" s="17"/>
      <c r="D68" s="18"/>
      <c r="E68" s="17"/>
      <c r="F68" s="18"/>
      <c r="G68" s="17"/>
      <c r="H68" s="18"/>
      <c r="I68" s="17"/>
      <c r="J68" s="18"/>
      <c r="K68" s="17"/>
      <c r="L68" s="18"/>
      <c r="M68" s="19"/>
      <c r="N68" s="18"/>
      <c r="O68" s="18"/>
      <c r="P68" s="18"/>
    </row>
    <row r="69" spans="1:18" customFormat="1" ht="12.75" x14ac:dyDescent="0.2">
      <c r="A69" s="4"/>
      <c r="B69" s="36" t="s">
        <v>47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</row>
    <row r="70" spans="1:18" s="23" customFormat="1" ht="15.75" x14ac:dyDescent="0.25">
      <c r="B70" s="38"/>
      <c r="C70" s="38"/>
      <c r="D70" s="38"/>
      <c r="E70" s="38"/>
      <c r="F70" s="38"/>
      <c r="G70" s="38"/>
      <c r="H70" s="2"/>
      <c r="I70" s="2"/>
      <c r="J70" s="2"/>
    </row>
    <row r="71" spans="1:18" ht="12.75" x14ac:dyDescent="0.2">
      <c r="E71" s="11"/>
      <c r="F71"/>
      <c r="G71"/>
      <c r="H71"/>
      <c r="I71"/>
      <c r="J71"/>
      <c r="K71"/>
      <c r="L71"/>
      <c r="M71"/>
      <c r="N71"/>
      <c r="O71"/>
      <c r="P71"/>
      <c r="Q71"/>
      <c r="R71"/>
    </row>
  </sheetData>
  <mergeCells count="8">
    <mergeCell ref="C9:P9"/>
    <mergeCell ref="M10:N10"/>
    <mergeCell ref="O10:P10"/>
    <mergeCell ref="C10:D10"/>
    <mergeCell ref="E10:F10"/>
    <mergeCell ref="G10:H10"/>
    <mergeCell ref="I10:J10"/>
    <mergeCell ref="K10:L10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P72"/>
  <sheetViews>
    <sheetView zoomScaleNormal="100" workbookViewId="0">
      <pane xSplit="2" ySplit="12" topLeftCell="C22" activePane="bottomRight" state="frozen"/>
      <selection pane="topRight" activeCell="C1" sqref="C1"/>
      <selection pane="bottomLeft" activeCell="A13" sqref="A13"/>
      <selection pane="bottomRight" activeCell="C6" sqref="C6"/>
    </sheetView>
  </sheetViews>
  <sheetFormatPr defaultRowHeight="11.25" x14ac:dyDescent="0.2"/>
  <cols>
    <col min="1" max="1" width="1.28515625" style="2" customWidth="1"/>
    <col min="2" max="2" width="12.42578125" style="2" customWidth="1"/>
    <col min="3" max="3" width="7.140625" style="2" bestFit="1" customWidth="1"/>
    <col min="4" max="4" width="14.7109375" style="2" bestFit="1" customWidth="1"/>
    <col min="5" max="5" width="7.140625" style="2" bestFit="1" customWidth="1"/>
    <col min="6" max="6" width="14.7109375" style="2" bestFit="1" customWidth="1"/>
    <col min="7" max="7" width="8.5703125" style="2" bestFit="1" customWidth="1"/>
    <col min="8" max="8" width="14.7109375" style="2" bestFit="1" customWidth="1"/>
    <col min="9" max="9" width="9.42578125" style="2" bestFit="1" customWidth="1"/>
    <col min="10" max="10" width="14.7109375" style="2" bestFit="1" customWidth="1"/>
    <col min="11" max="11" width="8.5703125" style="2" bestFit="1" customWidth="1"/>
    <col min="12" max="12" width="14.28515625" style="2" customWidth="1"/>
    <col min="13" max="13" width="8.5703125" style="2" bestFit="1" customWidth="1"/>
    <col min="14" max="14" width="14.7109375" style="2" bestFit="1" customWidth="1"/>
    <col min="15" max="15" width="10.28515625" style="9" bestFit="1" customWidth="1"/>
    <col min="16" max="16" width="15.5703125" style="9" bestFit="1" customWidth="1"/>
    <col min="17" max="16384" width="9.140625" style="2"/>
  </cols>
  <sheetData>
    <row r="2" spans="2:16" s="23" customFormat="1" ht="12.75" x14ac:dyDescent="0.2">
      <c r="B2" s="24" t="str">
        <f ca="1">MID(CELL("filename",A1),FIND("]",CELL("filename",A1))+1,255)</f>
        <v>Table 2.4.3-B9</v>
      </c>
    </row>
    <row r="3" spans="2:16" s="23" customFormat="1" ht="12.75" x14ac:dyDescent="0.2"/>
    <row r="4" spans="2:16" s="23" customFormat="1" ht="12.75" x14ac:dyDescent="0.2">
      <c r="B4" s="1" t="s">
        <v>6</v>
      </c>
    </row>
    <row r="5" spans="2:16" s="23" customFormat="1" ht="12.75" x14ac:dyDescent="0.2">
      <c r="B5" s="1" t="s">
        <v>12</v>
      </c>
    </row>
    <row r="6" spans="2:16" s="23" customFormat="1" ht="12.75" x14ac:dyDescent="0.2">
      <c r="B6" s="1" t="s">
        <v>115</v>
      </c>
    </row>
    <row r="7" spans="2:16" s="23" customFormat="1" ht="12.75" x14ac:dyDescent="0.2">
      <c r="B7" s="1" t="s">
        <v>65</v>
      </c>
    </row>
    <row r="8" spans="2:16" x14ac:dyDescent="0.2">
      <c r="O8" s="2"/>
      <c r="P8" s="2"/>
    </row>
    <row r="9" spans="2:16" ht="12" x14ac:dyDescent="0.2">
      <c r="B9" s="46"/>
      <c r="C9" s="182" t="s">
        <v>13</v>
      </c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</row>
    <row r="10" spans="2:16" ht="29.25" customHeight="1" x14ac:dyDescent="0.2">
      <c r="B10" s="44"/>
      <c r="C10" s="184" t="s">
        <v>32</v>
      </c>
      <c r="D10" s="185"/>
      <c r="E10" s="186" t="s">
        <v>70</v>
      </c>
      <c r="F10" s="186"/>
      <c r="G10" s="184" t="s">
        <v>31</v>
      </c>
      <c r="H10" s="185"/>
      <c r="I10" s="186" t="s">
        <v>30</v>
      </c>
      <c r="J10" s="185"/>
      <c r="K10" s="184" t="s">
        <v>34</v>
      </c>
      <c r="L10" s="185"/>
      <c r="M10" s="184" t="s">
        <v>33</v>
      </c>
      <c r="N10" s="185"/>
      <c r="O10" s="186" t="s">
        <v>35</v>
      </c>
      <c r="P10" s="186"/>
    </row>
    <row r="11" spans="2:16" ht="12" x14ac:dyDescent="0.2">
      <c r="B11" s="45" t="s">
        <v>29</v>
      </c>
      <c r="C11" s="146" t="s">
        <v>2</v>
      </c>
      <c r="D11" s="147" t="s">
        <v>3</v>
      </c>
      <c r="E11" s="148" t="s">
        <v>2</v>
      </c>
      <c r="F11" s="148" t="s">
        <v>3</v>
      </c>
      <c r="G11" s="154" t="s">
        <v>2</v>
      </c>
      <c r="H11" s="153" t="s">
        <v>3</v>
      </c>
      <c r="I11" s="148" t="s">
        <v>2</v>
      </c>
      <c r="J11" s="147" t="s">
        <v>3</v>
      </c>
      <c r="K11" s="146" t="s">
        <v>2</v>
      </c>
      <c r="L11" s="147" t="s">
        <v>3</v>
      </c>
      <c r="M11" s="146" t="s">
        <v>2</v>
      </c>
      <c r="N11" s="147" t="s">
        <v>3</v>
      </c>
      <c r="O11" s="148" t="s">
        <v>2</v>
      </c>
      <c r="P11" s="148" t="s">
        <v>3</v>
      </c>
    </row>
    <row r="12" spans="2:16" ht="12.75" x14ac:dyDescent="0.2">
      <c r="B12" s="55">
        <v>2016</v>
      </c>
      <c r="C12" s="69"/>
      <c r="D12" s="81"/>
      <c r="E12" s="69"/>
      <c r="F12" s="56"/>
      <c r="G12" s="90"/>
      <c r="H12" s="81"/>
      <c r="I12" s="69"/>
      <c r="J12" s="56"/>
      <c r="K12" s="90"/>
      <c r="L12" s="81"/>
      <c r="M12" s="90"/>
      <c r="N12" s="81"/>
      <c r="O12" s="69"/>
      <c r="P12" s="56"/>
    </row>
    <row r="13" spans="2:16" ht="12" x14ac:dyDescent="0.2">
      <c r="B13" s="119" t="s">
        <v>14</v>
      </c>
      <c r="C13" s="149">
        <f>+'[17]Statistical Data'!C8</f>
        <v>10</v>
      </c>
      <c r="D13" s="150">
        <f>+'[17]Statistical Data'!D8</f>
        <v>2844900</v>
      </c>
      <c r="E13" s="151">
        <f>+'[17]Statistical Data'!E8</f>
        <v>2</v>
      </c>
      <c r="F13" s="152">
        <f>+'[17]Statistical Data'!F8</f>
        <v>927800</v>
      </c>
      <c r="G13" s="149">
        <f>+'[17]Statistical Data'!G8</f>
        <v>0</v>
      </c>
      <c r="H13" s="152">
        <f>+'[17]Statistical Data'!H8</f>
        <v>0</v>
      </c>
      <c r="I13" s="149">
        <f>+'[17]Statistical Data'!I8</f>
        <v>1</v>
      </c>
      <c r="J13" s="150">
        <f>+'[17]Statistical Data'!J8</f>
        <v>34200</v>
      </c>
      <c r="K13" s="151">
        <f>+'[17]Statistical Data'!K8</f>
        <v>0</v>
      </c>
      <c r="L13" s="152">
        <f>+'[17]Statistical Data'!L8</f>
        <v>0</v>
      </c>
      <c r="M13" s="151">
        <f>+'[17]Statistical Data'!M8</f>
        <v>0</v>
      </c>
      <c r="N13" s="152">
        <f>+'[17]Statistical Data'!N8</f>
        <v>0</v>
      </c>
      <c r="O13" s="149">
        <f>+'[17]Statistical Data'!O8</f>
        <v>13</v>
      </c>
      <c r="P13" s="150">
        <f>+'[17]Statistical Data'!P8</f>
        <v>3806900</v>
      </c>
    </row>
    <row r="14" spans="2:16" ht="12" x14ac:dyDescent="0.2">
      <c r="B14" s="64" t="s">
        <v>15</v>
      </c>
      <c r="C14" s="71">
        <f>+'[17]Statistical Data'!C9</f>
        <v>7</v>
      </c>
      <c r="D14" s="78">
        <f>+'[17]Statistical Data'!D9</f>
        <v>2345100</v>
      </c>
      <c r="E14" s="71">
        <f>+'[17]Statistical Data'!E9</f>
        <v>2</v>
      </c>
      <c r="F14" s="50">
        <f>+'[17]Statistical Data'!F9</f>
        <v>1632100</v>
      </c>
      <c r="G14" s="87">
        <f>+'[17]Statistical Data'!G9</f>
        <v>0</v>
      </c>
      <c r="H14" s="78">
        <f>+'[17]Statistical Data'!H9</f>
        <v>0</v>
      </c>
      <c r="I14" s="71">
        <f>+'[17]Statistical Data'!I9</f>
        <v>1</v>
      </c>
      <c r="J14" s="50">
        <f>+'[17]Statistical Data'!J9</f>
        <v>239300</v>
      </c>
      <c r="K14" s="87">
        <f>+'[17]Statistical Data'!K9</f>
        <v>0</v>
      </c>
      <c r="L14" s="78">
        <f>+'[17]Statistical Data'!L9</f>
        <v>0</v>
      </c>
      <c r="M14" s="87">
        <f>+'[17]Statistical Data'!M9</f>
        <v>0</v>
      </c>
      <c r="N14" s="78">
        <f>+'[17]Statistical Data'!N9</f>
        <v>0</v>
      </c>
      <c r="O14" s="71">
        <f>+'[17]Statistical Data'!O9</f>
        <v>10</v>
      </c>
      <c r="P14" s="50">
        <f>+'[17]Statistical Data'!P9</f>
        <v>4216500</v>
      </c>
    </row>
    <row r="15" spans="2:16" ht="12" x14ac:dyDescent="0.2">
      <c r="B15" s="64" t="s">
        <v>16</v>
      </c>
      <c r="C15" s="71">
        <f>+'[17]Statistical Data'!C10</f>
        <v>8</v>
      </c>
      <c r="D15" s="78">
        <f>+'[17]Statistical Data'!D10</f>
        <v>1607300</v>
      </c>
      <c r="E15" s="71">
        <f>+'[17]Statistical Data'!E10</f>
        <v>2</v>
      </c>
      <c r="F15" s="50">
        <f>+'[17]Statistical Data'!F10</f>
        <v>141700</v>
      </c>
      <c r="G15" s="87">
        <f>+'[17]Statistical Data'!G10</f>
        <v>0</v>
      </c>
      <c r="H15" s="78">
        <f>+'[17]Statistical Data'!H10</f>
        <v>0</v>
      </c>
      <c r="I15" s="71">
        <f>+'[17]Statistical Data'!I10</f>
        <v>3</v>
      </c>
      <c r="J15" s="50">
        <f>+'[17]Statistical Data'!J10</f>
        <v>651400</v>
      </c>
      <c r="K15" s="87">
        <f>+'[17]Statistical Data'!K10</f>
        <v>0</v>
      </c>
      <c r="L15" s="78">
        <f>+'[17]Statistical Data'!L10</f>
        <v>0</v>
      </c>
      <c r="M15" s="87">
        <f>+'[17]Statistical Data'!M10</f>
        <v>2</v>
      </c>
      <c r="N15" s="78">
        <f>+'[17]Statistical Data'!N10</f>
        <v>9765000</v>
      </c>
      <c r="O15" s="71">
        <f>+'[17]Statistical Data'!O10</f>
        <v>15</v>
      </c>
      <c r="P15" s="50">
        <f>+'[17]Statistical Data'!P10</f>
        <v>12165400</v>
      </c>
    </row>
    <row r="16" spans="2:16" ht="12" x14ac:dyDescent="0.2">
      <c r="B16" s="51" t="s">
        <v>17</v>
      </c>
      <c r="C16" s="72">
        <f>SUM(C13:C15)</f>
        <v>25</v>
      </c>
      <c r="D16" s="52">
        <f t="shared" ref="D16:N16" si="0">SUM(D13:D15)</f>
        <v>6797300</v>
      </c>
      <c r="E16" s="88">
        <f t="shared" si="0"/>
        <v>6</v>
      </c>
      <c r="F16" s="79">
        <f t="shared" si="0"/>
        <v>2701600</v>
      </c>
      <c r="G16" s="72">
        <f t="shared" si="0"/>
        <v>0</v>
      </c>
      <c r="H16" s="79">
        <f t="shared" si="0"/>
        <v>0</v>
      </c>
      <c r="I16" s="72">
        <f t="shared" si="0"/>
        <v>5</v>
      </c>
      <c r="J16" s="52">
        <f t="shared" si="0"/>
        <v>924900</v>
      </c>
      <c r="K16" s="88">
        <f t="shared" si="0"/>
        <v>0</v>
      </c>
      <c r="L16" s="79">
        <f t="shared" si="0"/>
        <v>0</v>
      </c>
      <c r="M16" s="88">
        <f t="shared" si="0"/>
        <v>2</v>
      </c>
      <c r="N16" s="79">
        <f t="shared" si="0"/>
        <v>9765000</v>
      </c>
      <c r="O16" s="72">
        <f>+C16+E16+G16+I16+K16+M16</f>
        <v>38</v>
      </c>
      <c r="P16" s="52">
        <f>SUM(P13:P15)</f>
        <v>20188800</v>
      </c>
    </row>
    <row r="17" spans="1:16" ht="12" x14ac:dyDescent="0.2">
      <c r="B17" s="64" t="s">
        <v>18</v>
      </c>
      <c r="C17" s="71">
        <f>+'[17]Statistical Data'!C12</f>
        <v>6</v>
      </c>
      <c r="D17" s="50">
        <f>+'[17]Statistical Data'!D12</f>
        <v>1749500</v>
      </c>
      <c r="E17" s="87">
        <f>+'[17]Statistical Data'!E12</f>
        <v>3</v>
      </c>
      <c r="F17" s="78">
        <f>+'[17]Statistical Data'!F12</f>
        <v>379500</v>
      </c>
      <c r="G17" s="71">
        <f>+'[17]Statistical Data'!G12</f>
        <v>0</v>
      </c>
      <c r="H17" s="78">
        <f>+'[17]Statistical Data'!H12</f>
        <v>0</v>
      </c>
      <c r="I17" s="71">
        <f>+'[17]Statistical Data'!I12</f>
        <v>1</v>
      </c>
      <c r="J17" s="50">
        <f>+'[17]Statistical Data'!J12</f>
        <v>37500</v>
      </c>
      <c r="K17" s="87">
        <f>+'[17]Statistical Data'!K12</f>
        <v>0</v>
      </c>
      <c r="L17" s="78">
        <f>+'[17]Statistical Data'!L12</f>
        <v>0</v>
      </c>
      <c r="M17" s="87">
        <f>+'[17]Statistical Data'!M12</f>
        <v>0</v>
      </c>
      <c r="N17" s="78">
        <f>+'[17]Statistical Data'!N12</f>
        <v>0</v>
      </c>
      <c r="O17" s="71">
        <f>+'[17]Statistical Data'!O12</f>
        <v>10</v>
      </c>
      <c r="P17" s="50">
        <f>+'[17]Statistical Data'!P12</f>
        <v>2166500</v>
      </c>
    </row>
    <row r="18" spans="1:16" ht="12" x14ac:dyDescent="0.2">
      <c r="B18" s="64" t="s">
        <v>19</v>
      </c>
      <c r="C18" s="71">
        <f>+'[17]Statistical Data'!C13</f>
        <v>3</v>
      </c>
      <c r="D18" s="78">
        <f>+'[17]Statistical Data'!D13</f>
        <v>2108800</v>
      </c>
      <c r="E18" s="71">
        <f>+'[17]Statistical Data'!E13</f>
        <v>4</v>
      </c>
      <c r="F18" s="50">
        <f>+'[17]Statistical Data'!F13</f>
        <v>1658500</v>
      </c>
      <c r="G18" s="87">
        <f>+'[17]Statistical Data'!G13</f>
        <v>0</v>
      </c>
      <c r="H18" s="78">
        <f>+'[17]Statistical Data'!H13</f>
        <v>0</v>
      </c>
      <c r="I18" s="71">
        <f>+'[17]Statistical Data'!I13</f>
        <v>1</v>
      </c>
      <c r="J18" s="50">
        <f>+'[17]Statistical Data'!J13</f>
        <v>70000</v>
      </c>
      <c r="K18" s="87">
        <f>+'[17]Statistical Data'!K13</f>
        <v>0</v>
      </c>
      <c r="L18" s="78">
        <f>+'[17]Statistical Data'!L13</f>
        <v>0</v>
      </c>
      <c r="M18" s="87">
        <f>+'[17]Statistical Data'!M13</f>
        <v>0</v>
      </c>
      <c r="N18" s="78">
        <f>+'[17]Statistical Data'!N13</f>
        <v>0</v>
      </c>
      <c r="O18" s="71">
        <f>+'[17]Statistical Data'!O13</f>
        <v>8</v>
      </c>
      <c r="P18" s="50">
        <f>+'[17]Statistical Data'!P13</f>
        <v>3837300</v>
      </c>
    </row>
    <row r="19" spans="1:16" ht="12" x14ac:dyDescent="0.2">
      <c r="B19" s="64" t="s">
        <v>20</v>
      </c>
      <c r="C19" s="71">
        <f>+'[17]Statistical Data'!C14</f>
        <v>6</v>
      </c>
      <c r="D19" s="78">
        <f>+'[17]Statistical Data'!D14</f>
        <v>1415100</v>
      </c>
      <c r="E19" s="71">
        <f>+'[17]Statistical Data'!E14</f>
        <v>3</v>
      </c>
      <c r="F19" s="50">
        <f>+'[17]Statistical Data'!F14</f>
        <v>1004500</v>
      </c>
      <c r="G19" s="87">
        <f>+'[17]Statistical Data'!G14</f>
        <v>0</v>
      </c>
      <c r="H19" s="78">
        <f>+'[17]Statistical Data'!H14</f>
        <v>0</v>
      </c>
      <c r="I19" s="71">
        <f>+'[17]Statistical Data'!I14</f>
        <v>0</v>
      </c>
      <c r="J19" s="50">
        <f>+'[17]Statistical Data'!J14</f>
        <v>0</v>
      </c>
      <c r="K19" s="87">
        <f>+'[17]Statistical Data'!K14</f>
        <v>0</v>
      </c>
      <c r="L19" s="78">
        <f>+'[17]Statistical Data'!L14</f>
        <v>0</v>
      </c>
      <c r="M19" s="87">
        <f>+'[17]Statistical Data'!M14</f>
        <v>2</v>
      </c>
      <c r="N19" s="78">
        <f>+'[17]Statistical Data'!N14</f>
        <v>1259800</v>
      </c>
      <c r="O19" s="71">
        <f>+'[17]Statistical Data'!O14</f>
        <v>11</v>
      </c>
      <c r="P19" s="50">
        <f>+'[17]Statistical Data'!P14</f>
        <v>3679400</v>
      </c>
    </row>
    <row r="20" spans="1:16" ht="12" x14ac:dyDescent="0.2">
      <c r="B20" s="51" t="s">
        <v>21</v>
      </c>
      <c r="C20" s="72">
        <f>SUM(C17:C19)</f>
        <v>15</v>
      </c>
      <c r="D20" s="79">
        <f t="shared" ref="D20:N20" si="1">SUM(D17:D19)</f>
        <v>5273400</v>
      </c>
      <c r="E20" s="72">
        <f t="shared" si="1"/>
        <v>10</v>
      </c>
      <c r="F20" s="52">
        <f t="shared" si="1"/>
        <v>3042500</v>
      </c>
      <c r="G20" s="88">
        <f t="shared" si="1"/>
        <v>0</v>
      </c>
      <c r="H20" s="79">
        <f t="shared" si="1"/>
        <v>0</v>
      </c>
      <c r="I20" s="72">
        <f t="shared" si="1"/>
        <v>2</v>
      </c>
      <c r="J20" s="52">
        <f t="shared" si="1"/>
        <v>107500</v>
      </c>
      <c r="K20" s="88">
        <f t="shared" si="1"/>
        <v>0</v>
      </c>
      <c r="L20" s="79">
        <f t="shared" si="1"/>
        <v>0</v>
      </c>
      <c r="M20" s="88">
        <f t="shared" si="1"/>
        <v>2</v>
      </c>
      <c r="N20" s="79">
        <f t="shared" si="1"/>
        <v>1259800</v>
      </c>
      <c r="O20" s="72">
        <f>+C20+E20+G20+I20+K20+M20</f>
        <v>29</v>
      </c>
      <c r="P20" s="52">
        <f>SUM(P17:P19)</f>
        <v>9683200</v>
      </c>
    </row>
    <row r="21" spans="1:16" ht="12" x14ac:dyDescent="0.2">
      <c r="B21" s="64" t="s">
        <v>22</v>
      </c>
      <c r="C21" s="71">
        <f>+'[17]Statistical Data'!C16</f>
        <v>6</v>
      </c>
      <c r="D21" s="50">
        <f>+'[17]Statistical Data'!D16</f>
        <v>2088200</v>
      </c>
      <c r="E21" s="87">
        <f>+'[17]Statistical Data'!E16</f>
        <v>5</v>
      </c>
      <c r="F21" s="78">
        <f>+'[17]Statistical Data'!F16</f>
        <v>1588100</v>
      </c>
      <c r="G21" s="71">
        <f>+'[17]Statistical Data'!G16</f>
        <v>0</v>
      </c>
      <c r="H21" s="78">
        <f>+'[17]Statistical Data'!H16</f>
        <v>0</v>
      </c>
      <c r="I21" s="71">
        <f>+'[17]Statistical Data'!I16</f>
        <v>0</v>
      </c>
      <c r="J21" s="50">
        <f>+'[17]Statistical Data'!J16</f>
        <v>0</v>
      </c>
      <c r="K21" s="87">
        <f>+'[17]Statistical Data'!K16</f>
        <v>0</v>
      </c>
      <c r="L21" s="78">
        <f>+'[17]Statistical Data'!L16</f>
        <v>0</v>
      </c>
      <c r="M21" s="87">
        <f>+'[17]Statistical Data'!M16</f>
        <v>1</v>
      </c>
      <c r="N21" s="78">
        <f>+'[17]Statistical Data'!N16</f>
        <v>60900</v>
      </c>
      <c r="O21" s="71">
        <f>+'[17]Statistical Data'!O16</f>
        <v>12</v>
      </c>
      <c r="P21" s="50">
        <f>+'[17]Statistical Data'!P16</f>
        <v>3737200</v>
      </c>
    </row>
    <row r="22" spans="1:16" ht="12" x14ac:dyDescent="0.2">
      <c r="B22" s="64" t="s">
        <v>23</v>
      </c>
      <c r="C22" s="71">
        <f>+'[17]Statistical Data'!C17</f>
        <v>8</v>
      </c>
      <c r="D22" s="78">
        <f>+'[17]Statistical Data'!D17</f>
        <v>2131500</v>
      </c>
      <c r="E22" s="71">
        <f>+'[17]Statistical Data'!E17</f>
        <v>2</v>
      </c>
      <c r="F22" s="50">
        <f>+'[17]Statistical Data'!F17</f>
        <v>1167600</v>
      </c>
      <c r="G22" s="87">
        <f>+'[17]Statistical Data'!G17</f>
        <v>2</v>
      </c>
      <c r="H22" s="78">
        <f>+'[17]Statistical Data'!H17</f>
        <v>4362500</v>
      </c>
      <c r="I22" s="71">
        <f>+'[17]Statistical Data'!I17</f>
        <v>0</v>
      </c>
      <c r="J22" s="50">
        <f>+'[17]Statistical Data'!J17</f>
        <v>0</v>
      </c>
      <c r="K22" s="87">
        <f>+'[17]Statistical Data'!K17</f>
        <v>0</v>
      </c>
      <c r="L22" s="78">
        <f>+'[17]Statistical Data'!L17</f>
        <v>0</v>
      </c>
      <c r="M22" s="87">
        <f>+'[17]Statistical Data'!M17</f>
        <v>1</v>
      </c>
      <c r="N22" s="78">
        <f>+'[17]Statistical Data'!N17</f>
        <v>2551600</v>
      </c>
      <c r="O22" s="71">
        <f>+'[17]Statistical Data'!O17</f>
        <v>13</v>
      </c>
      <c r="P22" s="50">
        <f>+'[17]Statistical Data'!P17</f>
        <v>10213200</v>
      </c>
    </row>
    <row r="23" spans="1:16" ht="12" x14ac:dyDescent="0.2">
      <c r="B23" s="64" t="s">
        <v>36</v>
      </c>
      <c r="C23" s="71">
        <f>+'[17]Statistical Data'!C18</f>
        <v>5</v>
      </c>
      <c r="D23" s="78">
        <f>+'[17]Statistical Data'!D18</f>
        <v>1327700</v>
      </c>
      <c r="E23" s="71">
        <f>+'[17]Statistical Data'!E18</f>
        <v>1</v>
      </c>
      <c r="F23" s="50">
        <f>+'[17]Statistical Data'!F18</f>
        <v>217800</v>
      </c>
      <c r="G23" s="87">
        <f>+'[17]Statistical Data'!G18</f>
        <v>1</v>
      </c>
      <c r="H23" s="78">
        <f>+'[17]Statistical Data'!H18</f>
        <v>1249500</v>
      </c>
      <c r="I23" s="71">
        <f>+'[17]Statistical Data'!I18</f>
        <v>1</v>
      </c>
      <c r="J23" s="50">
        <f>+'[17]Statistical Data'!J18</f>
        <v>5432000</v>
      </c>
      <c r="K23" s="87">
        <f>+'[17]Statistical Data'!K18</f>
        <v>0</v>
      </c>
      <c r="L23" s="78">
        <f>+'[17]Statistical Data'!L18</f>
        <v>0</v>
      </c>
      <c r="M23" s="87">
        <f>+'[17]Statistical Data'!M18</f>
        <v>0</v>
      </c>
      <c r="N23" s="78">
        <f>+'[17]Statistical Data'!N18</f>
        <v>0</v>
      </c>
      <c r="O23" s="71">
        <f>+'[17]Statistical Data'!O18</f>
        <v>8</v>
      </c>
      <c r="P23" s="50">
        <f>+'[17]Statistical Data'!P18</f>
        <v>8227000</v>
      </c>
    </row>
    <row r="24" spans="1:16" ht="12" x14ac:dyDescent="0.2">
      <c r="B24" s="51" t="s">
        <v>24</v>
      </c>
      <c r="C24" s="72">
        <f t="shared" ref="C24:N24" si="2">SUM(C21:C23)</f>
        <v>19</v>
      </c>
      <c r="D24" s="79">
        <f t="shared" si="2"/>
        <v>5547400</v>
      </c>
      <c r="E24" s="72">
        <f t="shared" si="2"/>
        <v>8</v>
      </c>
      <c r="F24" s="52">
        <f t="shared" si="2"/>
        <v>2973500</v>
      </c>
      <c r="G24" s="88">
        <f t="shared" si="2"/>
        <v>3</v>
      </c>
      <c r="H24" s="79">
        <f t="shared" si="2"/>
        <v>5612000</v>
      </c>
      <c r="I24" s="72">
        <f t="shared" si="2"/>
        <v>1</v>
      </c>
      <c r="J24" s="52">
        <f t="shared" si="2"/>
        <v>5432000</v>
      </c>
      <c r="K24" s="88">
        <f t="shared" si="2"/>
        <v>0</v>
      </c>
      <c r="L24" s="79">
        <f t="shared" si="2"/>
        <v>0</v>
      </c>
      <c r="M24" s="88">
        <f t="shared" si="2"/>
        <v>2</v>
      </c>
      <c r="N24" s="79">
        <f t="shared" si="2"/>
        <v>2612500</v>
      </c>
      <c r="O24" s="72">
        <f>+C24+E24+G24+I24+K24+M24</f>
        <v>33</v>
      </c>
      <c r="P24" s="52">
        <f>SUM(P21:P23)</f>
        <v>22177400</v>
      </c>
    </row>
    <row r="25" spans="1:16" ht="12" x14ac:dyDescent="0.2">
      <c r="B25" s="64" t="s">
        <v>25</v>
      </c>
      <c r="C25" s="71">
        <f>+'[17]Statistical Data'!C20</f>
        <v>5</v>
      </c>
      <c r="D25" s="50">
        <f>+'[17]Statistical Data'!D20</f>
        <v>1485900</v>
      </c>
      <c r="E25" s="87">
        <f>+'[17]Statistical Data'!E20</f>
        <v>2</v>
      </c>
      <c r="F25" s="78">
        <f>+'[17]Statistical Data'!F20</f>
        <v>823700</v>
      </c>
      <c r="G25" s="71">
        <f>+'[17]Statistical Data'!G20</f>
        <v>0</v>
      </c>
      <c r="H25" s="78">
        <f>+'[17]Statistical Data'!H20</f>
        <v>0</v>
      </c>
      <c r="I25" s="71">
        <f>+'[17]Statistical Data'!I20</f>
        <v>2</v>
      </c>
      <c r="J25" s="50">
        <f>+'[17]Statistical Data'!J20</f>
        <v>1020400</v>
      </c>
      <c r="K25" s="87">
        <f>+'[17]Statistical Data'!K20</f>
        <v>0</v>
      </c>
      <c r="L25" s="78">
        <f>+'[17]Statistical Data'!L20</f>
        <v>0</v>
      </c>
      <c r="M25" s="87">
        <f>+'[17]Statistical Data'!M20</f>
        <v>2</v>
      </c>
      <c r="N25" s="78">
        <f>+'[17]Statistical Data'!N20</f>
        <v>381400</v>
      </c>
      <c r="O25" s="71">
        <f>+'[17]Statistical Data'!O20</f>
        <v>11</v>
      </c>
      <c r="P25" s="50">
        <f>+'[17]Statistical Data'!P20</f>
        <v>3711400</v>
      </c>
    </row>
    <row r="26" spans="1:16" ht="12" x14ac:dyDescent="0.2">
      <c r="B26" s="64" t="s">
        <v>26</v>
      </c>
      <c r="C26" s="71">
        <f>+'[17]Statistical Data'!C21</f>
        <v>2</v>
      </c>
      <c r="D26" s="78">
        <f>+'[17]Statistical Data'!D21</f>
        <v>756200</v>
      </c>
      <c r="E26" s="71">
        <f>+'[17]Statistical Data'!E21</f>
        <v>2</v>
      </c>
      <c r="F26" s="50">
        <f>+'[17]Statistical Data'!F21</f>
        <v>1199200</v>
      </c>
      <c r="G26" s="87">
        <f>+'[17]Statistical Data'!G21</f>
        <v>0</v>
      </c>
      <c r="H26" s="78">
        <f>+'[17]Statistical Data'!H21</f>
        <v>0</v>
      </c>
      <c r="I26" s="71">
        <f>+'[17]Statistical Data'!I21</f>
        <v>0</v>
      </c>
      <c r="J26" s="50">
        <f>+'[17]Statistical Data'!J21</f>
        <v>0</v>
      </c>
      <c r="K26" s="87">
        <f>+'[17]Statistical Data'!K21</f>
        <v>2</v>
      </c>
      <c r="L26" s="78">
        <f>+'[17]Statistical Data'!L21</f>
        <v>1594900</v>
      </c>
      <c r="M26" s="87">
        <f>+'[17]Statistical Data'!M21</f>
        <v>1</v>
      </c>
      <c r="N26" s="78">
        <f>+'[17]Statistical Data'!N21</f>
        <v>90500</v>
      </c>
      <c r="O26" s="71">
        <f>+'[17]Statistical Data'!O21</f>
        <v>7</v>
      </c>
      <c r="P26" s="50">
        <f>+'[17]Statistical Data'!P21</f>
        <v>3640800</v>
      </c>
    </row>
    <row r="27" spans="1:16" ht="12" x14ac:dyDescent="0.2">
      <c r="B27" s="64" t="s">
        <v>27</v>
      </c>
      <c r="C27" s="71">
        <f>+'[17]Statistical Data'!C22</f>
        <v>5</v>
      </c>
      <c r="D27" s="78">
        <f>+'[17]Statistical Data'!D22</f>
        <v>989500</v>
      </c>
      <c r="E27" s="71">
        <f>+'[17]Statistical Data'!E22</f>
        <v>5</v>
      </c>
      <c r="F27" s="50">
        <f>+'[17]Statistical Data'!F22</f>
        <v>1179400</v>
      </c>
      <c r="G27" s="87">
        <f>+'[17]Statistical Data'!G22</f>
        <v>1</v>
      </c>
      <c r="H27" s="78">
        <f>+'[17]Statistical Data'!H22</f>
        <v>2353600</v>
      </c>
      <c r="I27" s="71">
        <f>+'[17]Statistical Data'!I22</f>
        <v>2</v>
      </c>
      <c r="J27" s="50">
        <f>+'[17]Statistical Data'!J22</f>
        <v>387800</v>
      </c>
      <c r="K27" s="87">
        <f>+'[17]Statistical Data'!K22</f>
        <v>1</v>
      </c>
      <c r="L27" s="78">
        <f>+'[17]Statistical Data'!L22</f>
        <v>315200</v>
      </c>
      <c r="M27" s="87">
        <f>+'[17]Statistical Data'!M22</f>
        <v>0</v>
      </c>
      <c r="N27" s="78">
        <f>+'[17]Statistical Data'!N22</f>
        <v>0</v>
      </c>
      <c r="O27" s="71">
        <f>+'[17]Statistical Data'!O22</f>
        <v>14</v>
      </c>
      <c r="P27" s="50">
        <f>+'[17]Statistical Data'!P22</f>
        <v>5225500</v>
      </c>
    </row>
    <row r="28" spans="1:16" s="9" customFormat="1" ht="12" x14ac:dyDescent="0.2">
      <c r="B28" s="51" t="s">
        <v>28</v>
      </c>
      <c r="C28" s="72">
        <f t="shared" ref="C28:N28" si="3">SUM(C25:C27)</f>
        <v>12</v>
      </c>
      <c r="D28" s="79">
        <f>SUM(D25:D27)</f>
        <v>3231600</v>
      </c>
      <c r="E28" s="72">
        <f t="shared" si="3"/>
        <v>9</v>
      </c>
      <c r="F28" s="52">
        <f t="shared" si="3"/>
        <v>3202300</v>
      </c>
      <c r="G28" s="88">
        <f>SUM(G25:G27)</f>
        <v>1</v>
      </c>
      <c r="H28" s="79">
        <f t="shared" si="3"/>
        <v>2353600</v>
      </c>
      <c r="I28" s="72">
        <f t="shared" si="3"/>
        <v>4</v>
      </c>
      <c r="J28" s="52">
        <f t="shared" si="3"/>
        <v>1408200</v>
      </c>
      <c r="K28" s="88">
        <f t="shared" si="3"/>
        <v>3</v>
      </c>
      <c r="L28" s="79">
        <f t="shared" si="3"/>
        <v>1910100</v>
      </c>
      <c r="M28" s="88">
        <f t="shared" si="3"/>
        <v>3</v>
      </c>
      <c r="N28" s="79">
        <f t="shared" si="3"/>
        <v>471900</v>
      </c>
      <c r="O28" s="72">
        <f>+C28+E28+G28+I28+K28+M28</f>
        <v>32</v>
      </c>
      <c r="P28" s="52">
        <f>SUM(P25:P27)</f>
        <v>12577700</v>
      </c>
    </row>
    <row r="29" spans="1:16" s="9" customFormat="1" ht="12.75" thickBot="1" x14ac:dyDescent="0.25">
      <c r="B29" s="65" t="s">
        <v>35</v>
      </c>
      <c r="C29" s="75">
        <f t="shared" ref="C29:N29" si="4">+C16+C20+C24+C28</f>
        <v>71</v>
      </c>
      <c r="D29" s="95">
        <f t="shared" si="4"/>
        <v>20849700</v>
      </c>
      <c r="E29" s="75">
        <f t="shared" si="4"/>
        <v>33</v>
      </c>
      <c r="F29" s="96">
        <f t="shared" si="4"/>
        <v>11919900</v>
      </c>
      <c r="G29" s="97">
        <f t="shared" si="4"/>
        <v>4</v>
      </c>
      <c r="H29" s="95">
        <f t="shared" si="4"/>
        <v>7965600</v>
      </c>
      <c r="I29" s="75">
        <f t="shared" si="4"/>
        <v>12</v>
      </c>
      <c r="J29" s="96">
        <f t="shared" si="4"/>
        <v>7872600</v>
      </c>
      <c r="K29" s="97">
        <f t="shared" si="4"/>
        <v>3</v>
      </c>
      <c r="L29" s="95">
        <f t="shared" si="4"/>
        <v>1910100</v>
      </c>
      <c r="M29" s="97">
        <f t="shared" si="4"/>
        <v>9</v>
      </c>
      <c r="N29" s="95">
        <f t="shared" si="4"/>
        <v>14109200</v>
      </c>
      <c r="O29" s="75">
        <f>+C29+E29+G29+I29+K29+M29</f>
        <v>132</v>
      </c>
      <c r="P29" s="96">
        <f>P16+P20+P24+P28</f>
        <v>64627100</v>
      </c>
    </row>
    <row r="30" spans="1:16" ht="12" x14ac:dyDescent="0.2">
      <c r="B30" s="45"/>
      <c r="C30" s="68"/>
      <c r="D30" s="54"/>
      <c r="E30" s="68"/>
      <c r="F30" s="54"/>
      <c r="G30" s="68"/>
      <c r="H30" s="54"/>
      <c r="I30" s="68"/>
      <c r="J30" s="54"/>
      <c r="K30" s="68"/>
      <c r="L30" s="54"/>
      <c r="M30" s="68"/>
      <c r="N30" s="54"/>
      <c r="O30" s="68"/>
      <c r="P30" s="54"/>
    </row>
    <row r="31" spans="1:16" customFormat="1" ht="12.75" x14ac:dyDescent="0.2">
      <c r="A31" s="4"/>
      <c r="B31" s="55">
        <v>2017</v>
      </c>
      <c r="C31" s="132"/>
      <c r="D31" s="133"/>
      <c r="E31" s="132"/>
      <c r="F31" s="133"/>
      <c r="G31" s="132"/>
      <c r="H31" s="133"/>
      <c r="I31" s="132"/>
      <c r="J31" s="133"/>
      <c r="K31" s="134"/>
      <c r="L31" s="133"/>
      <c r="M31" s="134"/>
      <c r="N31" s="133"/>
      <c r="O31" s="132"/>
      <c r="P31" s="132"/>
    </row>
    <row r="32" spans="1:16" s="23" customFormat="1" ht="12.75" x14ac:dyDescent="0.2">
      <c r="B32" s="64" t="s">
        <v>14</v>
      </c>
      <c r="C32" s="71">
        <f>'[14]Statistical Data'!$C$32</f>
        <v>10</v>
      </c>
      <c r="D32" s="78">
        <f>'[14]Statistical Data'!$D$32</f>
        <v>2844900</v>
      </c>
      <c r="E32" s="71">
        <f>'[14]Statistical Data'!$E$32</f>
        <v>2</v>
      </c>
      <c r="F32" s="78">
        <f>'[14]Statistical Data'!$F$32</f>
        <v>927800</v>
      </c>
      <c r="G32" s="71">
        <f>'[14]Statistical Data'!$G$32</f>
        <v>0</v>
      </c>
      <c r="H32" s="78">
        <f>'[14]Statistical Data'!$H$32</f>
        <v>0</v>
      </c>
      <c r="I32" s="71">
        <f>'[14]Statistical Data'!$I$32</f>
        <v>1</v>
      </c>
      <c r="J32" s="78">
        <f>'[14]Statistical Data'!$J$32</f>
        <v>34200</v>
      </c>
      <c r="K32" s="71">
        <f>'[14]Statistical Data'!$K$32</f>
        <v>0</v>
      </c>
      <c r="L32" s="78">
        <f>'[14]Statistical Data'!$L$32</f>
        <v>0</v>
      </c>
      <c r="M32" s="71">
        <f>'[14]Statistical Data'!$M$32</f>
        <v>0</v>
      </c>
      <c r="N32" s="78">
        <f>'[14]Statistical Data'!$N$32</f>
        <v>0</v>
      </c>
      <c r="O32" s="71">
        <f>'[14]Statistical Data'!$O$32</f>
        <v>13</v>
      </c>
      <c r="P32" s="50">
        <f>'[14]Statistical Data'!$P$32</f>
        <v>3806900</v>
      </c>
    </row>
    <row r="33" spans="2:16" ht="12" x14ac:dyDescent="0.2">
      <c r="B33" s="64" t="s">
        <v>15</v>
      </c>
      <c r="C33" s="71">
        <f>'[14]Statistical Data'!$C$33</f>
        <v>7</v>
      </c>
      <c r="D33" s="78">
        <f>'[14]Statistical Data'!$D$33</f>
        <v>2345100</v>
      </c>
      <c r="E33" s="71">
        <f>'[14]Statistical Data'!$E$33</f>
        <v>2</v>
      </c>
      <c r="F33" s="78">
        <f>'[14]Statistical Data'!$F$33</f>
        <v>1632100</v>
      </c>
      <c r="G33" s="71">
        <f>'[14]Statistical Data'!$G$33</f>
        <v>0</v>
      </c>
      <c r="H33" s="78">
        <f>'[14]Statistical Data'!$H$33</f>
        <v>0</v>
      </c>
      <c r="I33" s="71">
        <f>'[14]Statistical Data'!$I$33</f>
        <v>1</v>
      </c>
      <c r="J33" s="78">
        <f>'[14]Statistical Data'!$J$33</f>
        <v>239300</v>
      </c>
      <c r="K33" s="71">
        <f>'[14]Statistical Data'!$K$33</f>
        <v>0</v>
      </c>
      <c r="L33" s="78">
        <f>'[14]Statistical Data'!$L$33</f>
        <v>0</v>
      </c>
      <c r="M33" s="71">
        <f>'[14]Statistical Data'!$M$33</f>
        <v>0</v>
      </c>
      <c r="N33" s="78">
        <f>'[14]Statistical Data'!$N$33</f>
        <v>0</v>
      </c>
      <c r="O33" s="71">
        <f>'[14]Statistical Data'!$O$33</f>
        <v>10</v>
      </c>
      <c r="P33" s="50">
        <f>'[14]Statistical Data'!$P$33</f>
        <v>4216500</v>
      </c>
    </row>
    <row r="34" spans="2:16" ht="12" x14ac:dyDescent="0.2">
      <c r="B34" s="64" t="s">
        <v>16</v>
      </c>
      <c r="C34" s="71">
        <f>'[14]Statistical Data'!$C$34</f>
        <v>8</v>
      </c>
      <c r="D34" s="78">
        <f>'[14]Statistical Data'!$D$34</f>
        <v>2345100</v>
      </c>
      <c r="E34" s="71">
        <f>'[14]Statistical Data'!$E$34</f>
        <v>2</v>
      </c>
      <c r="F34" s="78">
        <f>'[14]Statistical Data'!$F$34</f>
        <v>141700</v>
      </c>
      <c r="G34" s="71">
        <f>'[14]Statistical Data'!$G$34</f>
        <v>0</v>
      </c>
      <c r="H34" s="78">
        <f>'[14]Statistical Data'!$H$34</f>
        <v>0</v>
      </c>
      <c r="I34" s="71">
        <f>'[14]Statistical Data'!$I$34</f>
        <v>3</v>
      </c>
      <c r="J34" s="78">
        <f>'[14]Statistical Data'!$J$34</f>
        <v>651400</v>
      </c>
      <c r="K34" s="71">
        <f>'[14]Statistical Data'!$K$34</f>
        <v>0</v>
      </c>
      <c r="L34" s="78">
        <f>'[14]Statistical Data'!$L$34</f>
        <v>0</v>
      </c>
      <c r="M34" s="71">
        <f>'[14]Statistical Data'!$M$34</f>
        <v>2</v>
      </c>
      <c r="N34" s="78">
        <f>'[14]Statistical Data'!$N$34</f>
        <v>9765000</v>
      </c>
      <c r="O34" s="71">
        <f>'[14]Statistical Data'!$O$34</f>
        <v>15</v>
      </c>
      <c r="P34" s="50">
        <f>'[14]Statistical Data'!$P$34</f>
        <v>12903200</v>
      </c>
    </row>
    <row r="35" spans="2:16" ht="12" x14ac:dyDescent="0.2">
      <c r="B35" s="51" t="s">
        <v>17</v>
      </c>
      <c r="C35" s="72">
        <f>SUM(C32:C34)</f>
        <v>25</v>
      </c>
      <c r="D35" s="83">
        <f t="shared" ref="D35:M35" si="5">SUM(D32:D34)</f>
        <v>7535100</v>
      </c>
      <c r="E35" s="72">
        <f t="shared" si="5"/>
        <v>6</v>
      </c>
      <c r="F35" s="83">
        <f t="shared" si="5"/>
        <v>2701600</v>
      </c>
      <c r="G35" s="72">
        <f t="shared" si="5"/>
        <v>0</v>
      </c>
      <c r="H35" s="83">
        <f t="shared" si="5"/>
        <v>0</v>
      </c>
      <c r="I35" s="72">
        <f t="shared" si="5"/>
        <v>5</v>
      </c>
      <c r="J35" s="83">
        <f t="shared" si="5"/>
        <v>924900</v>
      </c>
      <c r="K35" s="72">
        <f t="shared" si="5"/>
        <v>0</v>
      </c>
      <c r="L35" s="83">
        <f t="shared" si="5"/>
        <v>0</v>
      </c>
      <c r="M35" s="72">
        <f t="shared" si="5"/>
        <v>2</v>
      </c>
      <c r="N35" s="83">
        <f t="shared" ref="N35" si="6">SUM(N32:N34)</f>
        <v>9765000</v>
      </c>
      <c r="O35" s="72">
        <f t="shared" ref="O35" si="7">SUM(O32:O34)</f>
        <v>38</v>
      </c>
      <c r="P35" s="67">
        <f t="shared" ref="P35" si="8">SUM(P32:P34)</f>
        <v>20926600</v>
      </c>
    </row>
    <row r="36" spans="2:16" ht="12" x14ac:dyDescent="0.2">
      <c r="B36" s="64" t="s">
        <v>18</v>
      </c>
      <c r="C36" s="71">
        <f>'[14]Statistical Data'!$C$36</f>
        <v>6</v>
      </c>
      <c r="D36" s="78">
        <f>'[14]Statistical Data'!$D$36</f>
        <v>1749500</v>
      </c>
      <c r="E36" s="71">
        <f>'[14]Statistical Data'!$E$36</f>
        <v>3</v>
      </c>
      <c r="F36" s="78">
        <f>'[14]Statistical Data'!$F$36</f>
        <v>379500</v>
      </c>
      <c r="G36" s="71">
        <f>'[14]Statistical Data'!$G$36</f>
        <v>0</v>
      </c>
      <c r="H36" s="78">
        <f>'[14]Statistical Data'!$H$36</f>
        <v>0</v>
      </c>
      <c r="I36" s="71">
        <f>'[14]Statistical Data'!$I$36</f>
        <v>1</v>
      </c>
      <c r="J36" s="78">
        <f>'[14]Statistical Data'!$J$36</f>
        <v>37500</v>
      </c>
      <c r="K36" s="71">
        <f>'[14]Statistical Data'!$K$36</f>
        <v>0</v>
      </c>
      <c r="L36" s="78">
        <f>'[14]Statistical Data'!$L$36</f>
        <v>0</v>
      </c>
      <c r="M36" s="71">
        <f>'[14]Statistical Data'!$M$36</f>
        <v>0</v>
      </c>
      <c r="N36" s="78">
        <f>'[14]Statistical Data'!$N$36</f>
        <v>0</v>
      </c>
      <c r="O36" s="71">
        <f>'[14]Statistical Data'!$O$36</f>
        <v>10</v>
      </c>
      <c r="P36" s="50">
        <f>'[14]Statistical Data'!$P$36</f>
        <v>2166500</v>
      </c>
    </row>
    <row r="37" spans="2:16" ht="12" x14ac:dyDescent="0.2">
      <c r="B37" s="64" t="s">
        <v>19</v>
      </c>
      <c r="C37" s="71">
        <f>'[14]Statistical Data'!$C$37</f>
        <v>3</v>
      </c>
      <c r="D37" s="78">
        <f>'[14]Statistical Data'!$D$37</f>
        <v>2108800</v>
      </c>
      <c r="E37" s="71">
        <f>'[14]Statistical Data'!$E$37</f>
        <v>4</v>
      </c>
      <c r="F37" s="78">
        <f>'[14]Statistical Data'!$F$37</f>
        <v>1658500</v>
      </c>
      <c r="G37" s="71">
        <f>'[14]Statistical Data'!$G$37</f>
        <v>0</v>
      </c>
      <c r="H37" s="78">
        <f>'[14]Statistical Data'!$H$37</f>
        <v>0</v>
      </c>
      <c r="I37" s="71">
        <f>'[14]Statistical Data'!$I$37</f>
        <v>0</v>
      </c>
      <c r="J37" s="78">
        <f>'[14]Statistical Data'!$J$37</f>
        <v>70000</v>
      </c>
      <c r="K37" s="71">
        <f>'[14]Statistical Data'!$K$37</f>
        <v>0</v>
      </c>
      <c r="L37" s="78">
        <f>'[14]Statistical Data'!$L$37</f>
        <v>0</v>
      </c>
      <c r="M37" s="71">
        <f>'[14]Statistical Data'!$M$37</f>
        <v>0</v>
      </c>
      <c r="N37" s="78">
        <f>'[14]Statistical Data'!$N$37</f>
        <v>0</v>
      </c>
      <c r="O37" s="71">
        <f>'[14]Statistical Data'!$O$37</f>
        <v>7</v>
      </c>
      <c r="P37" s="50">
        <f>'[14]Statistical Data'!$P$37</f>
        <v>3837300</v>
      </c>
    </row>
    <row r="38" spans="2:16" ht="12" x14ac:dyDescent="0.2">
      <c r="B38" s="64" t="s">
        <v>20</v>
      </c>
      <c r="C38" s="71">
        <f>'[14]Statistical Data'!$C$38</f>
        <v>6</v>
      </c>
      <c r="D38" s="78">
        <f>'[14]Statistical Data'!$D$38</f>
        <v>1415100</v>
      </c>
      <c r="E38" s="71">
        <f>'[14]Statistical Data'!$E$38</f>
        <v>3</v>
      </c>
      <c r="F38" s="78">
        <f>'[14]Statistical Data'!$F$38</f>
        <v>1004500</v>
      </c>
      <c r="G38" s="71">
        <f>'[14]Statistical Data'!$G$38</f>
        <v>0</v>
      </c>
      <c r="H38" s="78">
        <f>'[14]Statistical Data'!$H$38</f>
        <v>0</v>
      </c>
      <c r="I38" s="71">
        <f>'[14]Statistical Data'!$I$38</f>
        <v>0</v>
      </c>
      <c r="J38" s="78">
        <f>'[14]Statistical Data'!$J$38</f>
        <v>0</v>
      </c>
      <c r="K38" s="71">
        <f>'[14]Statistical Data'!$K$38</f>
        <v>0</v>
      </c>
      <c r="L38" s="78">
        <f>'[14]Statistical Data'!$L$38</f>
        <v>0</v>
      </c>
      <c r="M38" s="71">
        <f>'[14]Statistical Data'!$M$38</f>
        <v>2</v>
      </c>
      <c r="N38" s="78">
        <f>'[14]Statistical Data'!$N$38</f>
        <v>1259800</v>
      </c>
      <c r="O38" s="71">
        <f>'[14]Statistical Data'!$O$38</f>
        <v>11</v>
      </c>
      <c r="P38" s="50">
        <f>'[14]Statistical Data'!$P$38</f>
        <v>3679400</v>
      </c>
    </row>
    <row r="39" spans="2:16" ht="12" x14ac:dyDescent="0.2">
      <c r="B39" s="51" t="s">
        <v>21</v>
      </c>
      <c r="C39" s="72">
        <f>SUM(C36:C38)</f>
        <v>15</v>
      </c>
      <c r="D39" s="83">
        <f t="shared" ref="D39:P39" si="9">SUM(D36:D38)</f>
        <v>5273400</v>
      </c>
      <c r="E39" s="72">
        <f t="shared" si="9"/>
        <v>10</v>
      </c>
      <c r="F39" s="83">
        <f t="shared" si="9"/>
        <v>3042500</v>
      </c>
      <c r="G39" s="72">
        <f>SUM(G36:G38)</f>
        <v>0</v>
      </c>
      <c r="H39" s="83">
        <f t="shared" si="9"/>
        <v>0</v>
      </c>
      <c r="I39" s="72">
        <f t="shared" si="9"/>
        <v>1</v>
      </c>
      <c r="J39" s="83">
        <f t="shared" si="9"/>
        <v>107500</v>
      </c>
      <c r="K39" s="72">
        <f t="shared" si="9"/>
        <v>0</v>
      </c>
      <c r="L39" s="83">
        <f t="shared" si="9"/>
        <v>0</v>
      </c>
      <c r="M39" s="72">
        <f t="shared" si="9"/>
        <v>2</v>
      </c>
      <c r="N39" s="83">
        <f t="shared" si="9"/>
        <v>1259800</v>
      </c>
      <c r="O39" s="72">
        <f t="shared" si="9"/>
        <v>28</v>
      </c>
      <c r="P39" s="67">
        <f t="shared" si="9"/>
        <v>9683200</v>
      </c>
    </row>
    <row r="40" spans="2:16" ht="12" x14ac:dyDescent="0.2">
      <c r="B40" s="64" t="s">
        <v>22</v>
      </c>
      <c r="C40" s="71">
        <f>'[14]Statistical Data'!$C$40</f>
        <v>6</v>
      </c>
      <c r="D40" s="78">
        <f>'[14]Statistical Data'!$D$40</f>
        <v>2088200</v>
      </c>
      <c r="E40" s="71">
        <f>'[14]Statistical Data'!$E$40</f>
        <v>3</v>
      </c>
      <c r="F40" s="78">
        <f>'[14]Statistical Data'!$F$40</f>
        <v>1588100</v>
      </c>
      <c r="G40" s="71">
        <f>'[14]Statistical Data'!$G$40</f>
        <v>0</v>
      </c>
      <c r="H40" s="78">
        <f>'[14]Statistical Data'!$H$40</f>
        <v>0</v>
      </c>
      <c r="I40" s="71">
        <f>'[14]Statistical Data'!$I$40</f>
        <v>0</v>
      </c>
      <c r="J40" s="78">
        <f>'[14]Statistical Data'!$J$40</f>
        <v>0</v>
      </c>
      <c r="K40" s="71">
        <f>'[14]Statistical Data'!$K$40</f>
        <v>0</v>
      </c>
      <c r="L40" s="78">
        <f>'[14]Statistical Data'!$L$40</f>
        <v>0</v>
      </c>
      <c r="M40" s="71">
        <f>'[14]Statistical Data'!$M$40</f>
        <v>1</v>
      </c>
      <c r="N40" s="78">
        <f>'[14]Statistical Data'!$N$40</f>
        <v>60900</v>
      </c>
      <c r="O40" s="71">
        <f>'[14]Statistical Data'!$O$40</f>
        <v>10</v>
      </c>
      <c r="P40" s="50">
        <f>'[14]Statistical Data'!$P$40</f>
        <v>3737200</v>
      </c>
    </row>
    <row r="41" spans="2:16" ht="12" x14ac:dyDescent="0.2">
      <c r="B41" s="64" t="s">
        <v>23</v>
      </c>
      <c r="C41" s="71">
        <f>'[14]Statistical Data'!$C$41</f>
        <v>8</v>
      </c>
      <c r="D41" s="78">
        <f>'[14]Statistical Data'!$D$41</f>
        <v>1327700</v>
      </c>
      <c r="E41" s="71">
        <f>'[14]Statistical Data'!$E$41</f>
        <v>2</v>
      </c>
      <c r="F41" s="78">
        <f>'[14]Statistical Data'!$F$41</f>
        <v>1167600</v>
      </c>
      <c r="G41" s="71">
        <f>'[14]Statistical Data'!$G$41</f>
        <v>2</v>
      </c>
      <c r="H41" s="78">
        <f>'[14]Statistical Data'!$H$41</f>
        <v>4362500</v>
      </c>
      <c r="I41" s="71">
        <f>'[14]Statistical Data'!$I$41</f>
        <v>0</v>
      </c>
      <c r="J41" s="78">
        <f>'[14]Statistical Data'!$J$41</f>
        <v>0</v>
      </c>
      <c r="K41" s="71">
        <f>'[14]Statistical Data'!$K$41</f>
        <v>0</v>
      </c>
      <c r="L41" s="78">
        <f>'[14]Statistical Data'!$L$41</f>
        <v>0</v>
      </c>
      <c r="M41" s="71">
        <f>'[14]Statistical Data'!$M$41</f>
        <v>1</v>
      </c>
      <c r="N41" s="78">
        <f>'[14]Statistical Data'!$N$41</f>
        <v>2551600</v>
      </c>
      <c r="O41" s="71">
        <f>'[14]Statistical Data'!$O$41</f>
        <v>13</v>
      </c>
      <c r="P41" s="50">
        <f>'[14]Statistical Data'!$P$41</f>
        <v>9409400</v>
      </c>
    </row>
    <row r="42" spans="2:16" ht="12" x14ac:dyDescent="0.2">
      <c r="B42" s="64" t="s">
        <v>36</v>
      </c>
      <c r="C42" s="71">
        <f>'[14]Statistical Data'!$C$42</f>
        <v>5</v>
      </c>
      <c r="D42" s="78">
        <f>'[14]Statistical Data'!$D$42</f>
        <v>1485900</v>
      </c>
      <c r="E42" s="71">
        <f>'[14]Statistical Data'!$E$42</f>
        <v>1</v>
      </c>
      <c r="F42" s="78">
        <f>'[14]Statistical Data'!$F$42</f>
        <v>217800</v>
      </c>
      <c r="G42" s="71">
        <f>'[14]Statistical Data'!$G$42</f>
        <v>1</v>
      </c>
      <c r="H42" s="78">
        <f>'[14]Statistical Data'!$H$42</f>
        <v>1249500</v>
      </c>
      <c r="I42" s="71">
        <f>'[14]Statistical Data'!$I$42</f>
        <v>0</v>
      </c>
      <c r="J42" s="78">
        <f>'[14]Statistical Data'!$J$42</f>
        <v>0</v>
      </c>
      <c r="K42" s="71">
        <f>'[14]Statistical Data'!$K$42</f>
        <v>0</v>
      </c>
      <c r="L42" s="78">
        <f>'[14]Statistical Data'!$L$42</f>
        <v>0</v>
      </c>
      <c r="M42" s="71">
        <f>'[14]Statistical Data'!$M$42</f>
        <v>0</v>
      </c>
      <c r="N42" s="78">
        <f>'[14]Statistical Data'!$N$42</f>
        <v>0</v>
      </c>
      <c r="O42" s="71">
        <f>'[14]Statistical Data'!$O$42</f>
        <v>7</v>
      </c>
      <c r="P42" s="50">
        <f>'[14]Statistical Data'!$P$42</f>
        <v>2953200</v>
      </c>
    </row>
    <row r="43" spans="2:16" ht="12" x14ac:dyDescent="0.2">
      <c r="B43" s="51" t="s">
        <v>24</v>
      </c>
      <c r="C43" s="72">
        <f>SUM(C40:C42)</f>
        <v>19</v>
      </c>
      <c r="D43" s="83">
        <f t="shared" ref="D43:P43" si="10">SUM(D40:D42)</f>
        <v>4901800</v>
      </c>
      <c r="E43" s="72">
        <f t="shared" si="10"/>
        <v>6</v>
      </c>
      <c r="F43" s="83">
        <f t="shared" si="10"/>
        <v>2973500</v>
      </c>
      <c r="G43" s="72">
        <f t="shared" si="10"/>
        <v>3</v>
      </c>
      <c r="H43" s="83">
        <f t="shared" si="10"/>
        <v>5612000</v>
      </c>
      <c r="I43" s="72">
        <f>SUM(I40:I42)</f>
        <v>0</v>
      </c>
      <c r="J43" s="83">
        <f t="shared" si="10"/>
        <v>0</v>
      </c>
      <c r="K43" s="72">
        <f t="shared" si="10"/>
        <v>0</v>
      </c>
      <c r="L43" s="83">
        <f t="shared" si="10"/>
        <v>0</v>
      </c>
      <c r="M43" s="72">
        <f t="shared" si="10"/>
        <v>2</v>
      </c>
      <c r="N43" s="83">
        <f t="shared" si="10"/>
        <v>2612500</v>
      </c>
      <c r="O43" s="72">
        <f t="shared" si="10"/>
        <v>30</v>
      </c>
      <c r="P43" s="67">
        <f t="shared" si="10"/>
        <v>16099800</v>
      </c>
    </row>
    <row r="44" spans="2:16" ht="12" x14ac:dyDescent="0.2">
      <c r="B44" s="64" t="s">
        <v>25</v>
      </c>
      <c r="C44" s="71">
        <f>'[14]Statistical Data'!$C$44</f>
        <v>5</v>
      </c>
      <c r="D44" s="78">
        <f>'[14]Statistical Data'!$D$44</f>
        <v>756200</v>
      </c>
      <c r="E44" s="71">
        <f>'[14]Statistical Data'!$E$44</f>
        <v>2</v>
      </c>
      <c r="F44" s="78">
        <f>'[14]Statistical Data'!$F$44</f>
        <v>823700</v>
      </c>
      <c r="G44" s="71">
        <f>'[14]Statistical Data'!$G$44</f>
        <v>0</v>
      </c>
      <c r="H44" s="78">
        <f>'[14]Statistical Data'!$H$44</f>
        <v>0</v>
      </c>
      <c r="I44" s="71">
        <f>'[14]Statistical Data'!$I$44</f>
        <v>2</v>
      </c>
      <c r="J44" s="78">
        <f>'[14]Statistical Data'!$J$44</f>
        <v>1020400</v>
      </c>
      <c r="K44" s="71">
        <f>'[14]Statistical Data'!$K$44</f>
        <v>0</v>
      </c>
      <c r="L44" s="78">
        <f>'[14]Statistical Data'!$L$44</f>
        <v>0</v>
      </c>
      <c r="M44" s="71">
        <f>'[14]Statistical Data'!$M$44</f>
        <v>2</v>
      </c>
      <c r="N44" s="78">
        <f>'[14]Statistical Data'!$N$44</f>
        <v>381400</v>
      </c>
      <c r="O44" s="71">
        <f>'[14]Statistical Data'!$O$44</f>
        <v>11</v>
      </c>
      <c r="P44" s="50">
        <f>'[14]Statistical Data'!$P$44</f>
        <v>2981700</v>
      </c>
    </row>
    <row r="45" spans="2:16" ht="12" x14ac:dyDescent="0.2">
      <c r="B45" s="64" t="s">
        <v>26</v>
      </c>
      <c r="C45" s="71">
        <f>'[14]Statistical Data'!$C$45</f>
        <v>2</v>
      </c>
      <c r="D45" s="78">
        <f>'[14]Statistical Data'!$D$45</f>
        <v>756200</v>
      </c>
      <c r="E45" s="71">
        <f>'[14]Statistical Data'!$E$45</f>
        <v>2</v>
      </c>
      <c r="F45" s="78">
        <f>'[14]Statistical Data'!$F$45</f>
        <v>1179400</v>
      </c>
      <c r="G45" s="71">
        <f>'[14]Statistical Data'!$G$45</f>
        <v>0</v>
      </c>
      <c r="H45" s="78">
        <f>'[14]Statistical Data'!$H$45</f>
        <v>0</v>
      </c>
      <c r="I45" s="71">
        <f>'[14]Statistical Data'!$I$45</f>
        <v>0</v>
      </c>
      <c r="J45" s="78">
        <f>'[14]Statistical Data'!$J$45</f>
        <v>0</v>
      </c>
      <c r="K45" s="71">
        <f>'[14]Statistical Data'!$K$45</f>
        <v>2</v>
      </c>
      <c r="L45" s="78">
        <f>'[14]Statistical Data'!$L$45</f>
        <v>1594900</v>
      </c>
      <c r="M45" s="71">
        <f>'[14]Statistical Data'!$M$45</f>
        <v>0</v>
      </c>
      <c r="N45" s="78">
        <f>'[14]Statistical Data'!$N$45</f>
        <v>90500</v>
      </c>
      <c r="O45" s="71">
        <f>'[14]Statistical Data'!$O$45</f>
        <v>6</v>
      </c>
      <c r="P45" s="50">
        <f>'[14]Statistical Data'!$P$45</f>
        <v>3621000</v>
      </c>
    </row>
    <row r="46" spans="2:16" ht="12" x14ac:dyDescent="0.2">
      <c r="B46" s="64" t="s">
        <v>27</v>
      </c>
      <c r="C46" s="71">
        <f>'[14]Statistical Data'!$C$46</f>
        <v>4</v>
      </c>
      <c r="D46" s="78">
        <f>'[14]Statistical Data'!$D$46</f>
        <v>909500</v>
      </c>
      <c r="E46" s="71">
        <f>'[14]Statistical Data'!$E$46</f>
        <v>5</v>
      </c>
      <c r="F46" s="78">
        <f>'[14]Statistical Data'!$F$46</f>
        <v>1179400</v>
      </c>
      <c r="G46" s="71">
        <f>'[14]Statistical Data'!$G$46</f>
        <v>1</v>
      </c>
      <c r="H46" s="78">
        <f>'[14]Statistical Data'!$H$46</f>
        <v>2353600</v>
      </c>
      <c r="I46" s="71">
        <f>'[14]Statistical Data'!$I$46</f>
        <v>2</v>
      </c>
      <c r="J46" s="78">
        <f>'[14]Statistical Data'!$J$46</f>
        <v>387800</v>
      </c>
      <c r="K46" s="71">
        <f>'[14]Statistical Data'!$K$46</f>
        <v>1</v>
      </c>
      <c r="L46" s="78">
        <f>'[14]Statistical Data'!$L$46</f>
        <v>315200</v>
      </c>
      <c r="M46" s="71">
        <f>'[14]Statistical Data'!$M$46</f>
        <v>0</v>
      </c>
      <c r="N46" s="78">
        <f>'[14]Statistical Data'!$N$46</f>
        <v>0</v>
      </c>
      <c r="O46" s="71">
        <f>'[14]Statistical Data'!$O$46</f>
        <v>13</v>
      </c>
      <c r="P46" s="50">
        <f>'[14]Statistical Data'!$P$46</f>
        <v>5145500</v>
      </c>
    </row>
    <row r="47" spans="2:16" ht="12" x14ac:dyDescent="0.2">
      <c r="B47" s="51" t="s">
        <v>28</v>
      </c>
      <c r="C47" s="72">
        <f>SUM(C44:C46)</f>
        <v>11</v>
      </c>
      <c r="D47" s="83">
        <f t="shared" ref="D47:O47" si="11">SUM(D44:D46)</f>
        <v>2421900</v>
      </c>
      <c r="E47" s="72">
        <f t="shared" si="11"/>
        <v>9</v>
      </c>
      <c r="F47" s="83">
        <f t="shared" si="11"/>
        <v>3182500</v>
      </c>
      <c r="G47" s="72">
        <f t="shared" si="11"/>
        <v>1</v>
      </c>
      <c r="H47" s="83">
        <f t="shared" si="11"/>
        <v>2353600</v>
      </c>
      <c r="I47" s="72">
        <f t="shared" si="11"/>
        <v>4</v>
      </c>
      <c r="J47" s="83">
        <f t="shared" si="11"/>
        <v>1408200</v>
      </c>
      <c r="K47" s="72">
        <f t="shared" si="11"/>
        <v>3</v>
      </c>
      <c r="L47" s="83">
        <f t="shared" si="11"/>
        <v>1910100</v>
      </c>
      <c r="M47" s="72">
        <f t="shared" si="11"/>
        <v>2</v>
      </c>
      <c r="N47" s="83">
        <f t="shared" si="11"/>
        <v>471900</v>
      </c>
      <c r="O47" s="72">
        <f t="shared" si="11"/>
        <v>30</v>
      </c>
      <c r="P47" s="67">
        <f>'[14]Statistical Data'!$P$47</f>
        <v>11748200</v>
      </c>
    </row>
    <row r="48" spans="2:16" s="9" customFormat="1" ht="12" x14ac:dyDescent="0.2">
      <c r="B48" s="45" t="s">
        <v>35</v>
      </c>
      <c r="C48" s="72">
        <f t="shared" ref="C48:N48" si="12">+C35+C39+C43+C47</f>
        <v>70</v>
      </c>
      <c r="D48" s="83">
        <f t="shared" si="12"/>
        <v>20132200</v>
      </c>
      <c r="E48" s="72">
        <f t="shared" si="12"/>
        <v>31</v>
      </c>
      <c r="F48" s="83">
        <f t="shared" si="12"/>
        <v>11900100</v>
      </c>
      <c r="G48" s="72">
        <f t="shared" si="12"/>
        <v>4</v>
      </c>
      <c r="H48" s="83">
        <f t="shared" si="12"/>
        <v>7965600</v>
      </c>
      <c r="I48" s="72">
        <f t="shared" si="12"/>
        <v>10</v>
      </c>
      <c r="J48" s="83">
        <f t="shared" si="12"/>
        <v>2440600</v>
      </c>
      <c r="K48" s="72">
        <f t="shared" si="12"/>
        <v>3</v>
      </c>
      <c r="L48" s="83">
        <f t="shared" si="12"/>
        <v>1910100</v>
      </c>
      <c r="M48" s="72">
        <f t="shared" si="12"/>
        <v>8</v>
      </c>
      <c r="N48" s="83">
        <f t="shared" si="12"/>
        <v>14109200</v>
      </c>
      <c r="O48" s="72">
        <f>+C48+E48+G48+I48+K48+M48</f>
        <v>126</v>
      </c>
      <c r="P48" s="67">
        <f>P35+P39+P43+P47</f>
        <v>58457800</v>
      </c>
    </row>
    <row r="49" spans="2:16" x14ac:dyDescent="0.2">
      <c r="B49" s="54"/>
      <c r="C49" s="54"/>
      <c r="D49" s="54"/>
      <c r="E49" s="71"/>
      <c r="F49" s="78"/>
      <c r="G49" s="68"/>
      <c r="H49" s="54"/>
      <c r="I49" s="68"/>
      <c r="J49" s="54"/>
      <c r="K49" s="68"/>
      <c r="L49" s="54"/>
      <c r="M49" s="68"/>
      <c r="N49" s="54"/>
      <c r="O49" s="68"/>
      <c r="P49" s="54"/>
    </row>
    <row r="50" spans="2:16" ht="12" x14ac:dyDescent="0.2">
      <c r="B50" s="57" t="s">
        <v>109</v>
      </c>
      <c r="C50" s="70"/>
      <c r="D50" s="82"/>
      <c r="E50" s="70"/>
      <c r="F50" s="74"/>
      <c r="G50" s="91"/>
      <c r="H50" s="82"/>
      <c r="I50" s="70"/>
      <c r="J50" s="74"/>
      <c r="K50" s="91"/>
      <c r="L50" s="82"/>
      <c r="M50" s="91"/>
      <c r="N50" s="82"/>
      <c r="O50" s="70"/>
      <c r="P50" s="74"/>
    </row>
    <row r="51" spans="2:16" ht="12" x14ac:dyDescent="0.2">
      <c r="B51" s="64" t="s">
        <v>14</v>
      </c>
      <c r="C51" s="50">
        <f>+IF(C13=0,0,((C32-C13)/C13*100))</f>
        <v>0</v>
      </c>
      <c r="D51" s="78">
        <f t="shared" ref="D51:P51" si="13">+IF(D13=0,0,((D32-D13)/D13*100))</f>
        <v>0</v>
      </c>
      <c r="E51" s="50">
        <f t="shared" si="13"/>
        <v>0</v>
      </c>
      <c r="F51" s="50">
        <f t="shared" si="13"/>
        <v>0</v>
      </c>
      <c r="G51" s="92">
        <f t="shared" si="13"/>
        <v>0</v>
      </c>
      <c r="H51" s="78">
        <f t="shared" si="13"/>
        <v>0</v>
      </c>
      <c r="I51" s="50">
        <f t="shared" si="13"/>
        <v>0</v>
      </c>
      <c r="J51" s="50">
        <f t="shared" si="13"/>
        <v>0</v>
      </c>
      <c r="K51" s="92">
        <f t="shared" si="13"/>
        <v>0</v>
      </c>
      <c r="L51" s="78">
        <f t="shared" si="13"/>
        <v>0</v>
      </c>
      <c r="M51" s="92">
        <f t="shared" si="13"/>
        <v>0</v>
      </c>
      <c r="N51" s="78">
        <f t="shared" si="13"/>
        <v>0</v>
      </c>
      <c r="O51" s="50">
        <f t="shared" si="13"/>
        <v>0</v>
      </c>
      <c r="P51" s="50">
        <f t="shared" si="13"/>
        <v>0</v>
      </c>
    </row>
    <row r="52" spans="2:16" ht="12" x14ac:dyDescent="0.2">
      <c r="B52" s="64" t="s">
        <v>15</v>
      </c>
      <c r="C52" s="50">
        <f t="shared" ref="C52:P67" si="14">+IF(C14=0,0,((C33-C14)/C14*100))</f>
        <v>0</v>
      </c>
      <c r="D52" s="78">
        <f t="shared" si="14"/>
        <v>0</v>
      </c>
      <c r="E52" s="50">
        <f t="shared" si="14"/>
        <v>0</v>
      </c>
      <c r="F52" s="50">
        <f t="shared" si="14"/>
        <v>0</v>
      </c>
      <c r="G52" s="92">
        <f t="shared" si="14"/>
        <v>0</v>
      </c>
      <c r="H52" s="78">
        <f t="shared" si="14"/>
        <v>0</v>
      </c>
      <c r="I52" s="50">
        <f t="shared" si="14"/>
        <v>0</v>
      </c>
      <c r="J52" s="50">
        <f t="shared" si="14"/>
        <v>0</v>
      </c>
      <c r="K52" s="92">
        <f t="shared" si="14"/>
        <v>0</v>
      </c>
      <c r="L52" s="78">
        <f t="shared" si="14"/>
        <v>0</v>
      </c>
      <c r="M52" s="92">
        <f t="shared" si="14"/>
        <v>0</v>
      </c>
      <c r="N52" s="78">
        <f t="shared" si="14"/>
        <v>0</v>
      </c>
      <c r="O52" s="50">
        <f t="shared" si="14"/>
        <v>0</v>
      </c>
      <c r="P52" s="50">
        <f t="shared" si="14"/>
        <v>0</v>
      </c>
    </row>
    <row r="53" spans="2:16" ht="12" x14ac:dyDescent="0.2">
      <c r="B53" s="64" t="s">
        <v>16</v>
      </c>
      <c r="C53" s="50">
        <f t="shared" si="14"/>
        <v>0</v>
      </c>
      <c r="D53" s="78">
        <f t="shared" si="14"/>
        <v>45.903067255646114</v>
      </c>
      <c r="E53" s="50">
        <f t="shared" si="14"/>
        <v>0</v>
      </c>
      <c r="F53" s="50">
        <f t="shared" si="14"/>
        <v>0</v>
      </c>
      <c r="G53" s="92">
        <f t="shared" si="14"/>
        <v>0</v>
      </c>
      <c r="H53" s="78">
        <f t="shared" si="14"/>
        <v>0</v>
      </c>
      <c r="I53" s="50">
        <f t="shared" si="14"/>
        <v>0</v>
      </c>
      <c r="J53" s="50">
        <f t="shared" si="14"/>
        <v>0</v>
      </c>
      <c r="K53" s="92">
        <f t="shared" si="14"/>
        <v>0</v>
      </c>
      <c r="L53" s="78">
        <f t="shared" si="14"/>
        <v>0</v>
      </c>
      <c r="M53" s="92">
        <f t="shared" si="14"/>
        <v>0</v>
      </c>
      <c r="N53" s="78">
        <f t="shared" si="14"/>
        <v>0</v>
      </c>
      <c r="O53" s="50">
        <f t="shared" si="14"/>
        <v>0</v>
      </c>
      <c r="P53" s="50">
        <f t="shared" si="14"/>
        <v>6.0647409867328657</v>
      </c>
    </row>
    <row r="54" spans="2:16" ht="12" x14ac:dyDescent="0.2">
      <c r="B54" s="51" t="s">
        <v>17</v>
      </c>
      <c r="C54" s="67">
        <f t="shared" si="14"/>
        <v>0</v>
      </c>
      <c r="D54" s="83">
        <f t="shared" si="14"/>
        <v>10.854309799479205</v>
      </c>
      <c r="E54" s="67">
        <f t="shared" si="14"/>
        <v>0</v>
      </c>
      <c r="F54" s="67">
        <f t="shared" si="14"/>
        <v>0</v>
      </c>
      <c r="G54" s="93">
        <f t="shared" si="14"/>
        <v>0</v>
      </c>
      <c r="H54" s="83">
        <f t="shared" si="14"/>
        <v>0</v>
      </c>
      <c r="I54" s="67">
        <f t="shared" si="14"/>
        <v>0</v>
      </c>
      <c r="J54" s="67">
        <f t="shared" si="14"/>
        <v>0</v>
      </c>
      <c r="K54" s="93">
        <f t="shared" si="14"/>
        <v>0</v>
      </c>
      <c r="L54" s="83">
        <f t="shared" si="14"/>
        <v>0</v>
      </c>
      <c r="M54" s="93">
        <f t="shared" si="14"/>
        <v>0</v>
      </c>
      <c r="N54" s="83">
        <f t="shared" si="14"/>
        <v>0</v>
      </c>
      <c r="O54" s="67">
        <f t="shared" si="14"/>
        <v>0</v>
      </c>
      <c r="P54" s="67">
        <f t="shared" si="14"/>
        <v>3.6545015057853862</v>
      </c>
    </row>
    <row r="55" spans="2:16" ht="12" x14ac:dyDescent="0.2">
      <c r="B55" s="64" t="s">
        <v>18</v>
      </c>
      <c r="C55" s="50">
        <f t="shared" si="14"/>
        <v>0</v>
      </c>
      <c r="D55" s="78">
        <f t="shared" si="14"/>
        <v>0</v>
      </c>
      <c r="E55" s="50">
        <f t="shared" si="14"/>
        <v>0</v>
      </c>
      <c r="F55" s="50">
        <f t="shared" si="14"/>
        <v>0</v>
      </c>
      <c r="G55" s="92">
        <f t="shared" si="14"/>
        <v>0</v>
      </c>
      <c r="H55" s="78">
        <f t="shared" si="14"/>
        <v>0</v>
      </c>
      <c r="I55" s="50">
        <f t="shared" si="14"/>
        <v>0</v>
      </c>
      <c r="J55" s="50">
        <f t="shared" si="14"/>
        <v>0</v>
      </c>
      <c r="K55" s="92">
        <f t="shared" si="14"/>
        <v>0</v>
      </c>
      <c r="L55" s="78">
        <f t="shared" si="14"/>
        <v>0</v>
      </c>
      <c r="M55" s="92">
        <f t="shared" si="14"/>
        <v>0</v>
      </c>
      <c r="N55" s="78">
        <f t="shared" si="14"/>
        <v>0</v>
      </c>
      <c r="O55" s="50">
        <f t="shared" si="14"/>
        <v>0</v>
      </c>
      <c r="P55" s="50">
        <f t="shared" si="14"/>
        <v>0</v>
      </c>
    </row>
    <row r="56" spans="2:16" ht="12" x14ac:dyDescent="0.2">
      <c r="B56" s="64" t="s">
        <v>19</v>
      </c>
      <c r="C56" s="50">
        <f t="shared" si="14"/>
        <v>0</v>
      </c>
      <c r="D56" s="78">
        <f t="shared" si="14"/>
        <v>0</v>
      </c>
      <c r="E56" s="50">
        <f t="shared" si="14"/>
        <v>0</v>
      </c>
      <c r="F56" s="50">
        <f t="shared" si="14"/>
        <v>0</v>
      </c>
      <c r="G56" s="92">
        <f t="shared" si="14"/>
        <v>0</v>
      </c>
      <c r="H56" s="78">
        <f t="shared" si="14"/>
        <v>0</v>
      </c>
      <c r="I56" s="50">
        <f t="shared" si="14"/>
        <v>-100</v>
      </c>
      <c r="J56" s="50">
        <f t="shared" si="14"/>
        <v>0</v>
      </c>
      <c r="K56" s="92">
        <f t="shared" si="14"/>
        <v>0</v>
      </c>
      <c r="L56" s="78">
        <f t="shared" si="14"/>
        <v>0</v>
      </c>
      <c r="M56" s="92">
        <f>+IF(M18=0,0,((M37-M18)/M18*100))</f>
        <v>0</v>
      </c>
      <c r="N56" s="78">
        <f t="shared" si="14"/>
        <v>0</v>
      </c>
      <c r="O56" s="50">
        <f t="shared" si="14"/>
        <v>-12.5</v>
      </c>
      <c r="P56" s="50">
        <f t="shared" si="14"/>
        <v>0</v>
      </c>
    </row>
    <row r="57" spans="2:16" ht="12" x14ac:dyDescent="0.2">
      <c r="B57" s="64" t="s">
        <v>20</v>
      </c>
      <c r="C57" s="50">
        <f t="shared" si="14"/>
        <v>0</v>
      </c>
      <c r="D57" s="78">
        <f t="shared" si="14"/>
        <v>0</v>
      </c>
      <c r="E57" s="50">
        <f t="shared" si="14"/>
        <v>0</v>
      </c>
      <c r="F57" s="50">
        <f t="shared" si="14"/>
        <v>0</v>
      </c>
      <c r="G57" s="92">
        <f t="shared" si="14"/>
        <v>0</v>
      </c>
      <c r="H57" s="78">
        <f t="shared" si="14"/>
        <v>0</v>
      </c>
      <c r="I57" s="50">
        <f t="shared" si="14"/>
        <v>0</v>
      </c>
      <c r="J57" s="50">
        <f t="shared" si="14"/>
        <v>0</v>
      </c>
      <c r="K57" s="92">
        <f t="shared" si="14"/>
        <v>0</v>
      </c>
      <c r="L57" s="78">
        <f t="shared" si="14"/>
        <v>0</v>
      </c>
      <c r="M57" s="92">
        <f t="shared" si="14"/>
        <v>0</v>
      </c>
      <c r="N57" s="78">
        <f t="shared" si="14"/>
        <v>0</v>
      </c>
      <c r="O57" s="50">
        <f t="shared" si="14"/>
        <v>0</v>
      </c>
      <c r="P57" s="50">
        <f t="shared" si="14"/>
        <v>0</v>
      </c>
    </row>
    <row r="58" spans="2:16" ht="12" x14ac:dyDescent="0.2">
      <c r="B58" s="51" t="s">
        <v>21</v>
      </c>
      <c r="C58" s="67">
        <f t="shared" si="14"/>
        <v>0</v>
      </c>
      <c r="D58" s="83">
        <f t="shared" si="14"/>
        <v>0</v>
      </c>
      <c r="E58" s="67">
        <f t="shared" si="14"/>
        <v>0</v>
      </c>
      <c r="F58" s="67">
        <f t="shared" si="14"/>
        <v>0</v>
      </c>
      <c r="G58" s="93">
        <f t="shared" si="14"/>
        <v>0</v>
      </c>
      <c r="H58" s="83">
        <f t="shared" si="14"/>
        <v>0</v>
      </c>
      <c r="I58" s="67">
        <f t="shared" si="14"/>
        <v>-50</v>
      </c>
      <c r="J58" s="67">
        <f t="shared" si="14"/>
        <v>0</v>
      </c>
      <c r="K58" s="93">
        <f t="shared" si="14"/>
        <v>0</v>
      </c>
      <c r="L58" s="83">
        <f t="shared" si="14"/>
        <v>0</v>
      </c>
      <c r="M58" s="93">
        <f t="shared" si="14"/>
        <v>0</v>
      </c>
      <c r="N58" s="83">
        <f t="shared" si="14"/>
        <v>0</v>
      </c>
      <c r="O58" s="67">
        <f t="shared" si="14"/>
        <v>-3.4482758620689653</v>
      </c>
      <c r="P58" s="67">
        <f t="shared" si="14"/>
        <v>0</v>
      </c>
    </row>
    <row r="59" spans="2:16" ht="12" x14ac:dyDescent="0.2">
      <c r="B59" s="64" t="s">
        <v>22</v>
      </c>
      <c r="C59" s="50">
        <f t="shared" si="14"/>
        <v>0</v>
      </c>
      <c r="D59" s="78">
        <f t="shared" si="14"/>
        <v>0</v>
      </c>
      <c r="E59" s="50">
        <f t="shared" si="14"/>
        <v>-40</v>
      </c>
      <c r="F59" s="50">
        <f t="shared" si="14"/>
        <v>0</v>
      </c>
      <c r="G59" s="92">
        <f t="shared" si="14"/>
        <v>0</v>
      </c>
      <c r="H59" s="78">
        <f t="shared" si="14"/>
        <v>0</v>
      </c>
      <c r="I59" s="50">
        <f t="shared" si="14"/>
        <v>0</v>
      </c>
      <c r="J59" s="50">
        <f t="shared" si="14"/>
        <v>0</v>
      </c>
      <c r="K59" s="92">
        <f t="shared" si="14"/>
        <v>0</v>
      </c>
      <c r="L59" s="78">
        <f t="shared" si="14"/>
        <v>0</v>
      </c>
      <c r="M59" s="92">
        <f t="shared" si="14"/>
        <v>0</v>
      </c>
      <c r="N59" s="78">
        <f t="shared" si="14"/>
        <v>0</v>
      </c>
      <c r="O59" s="50">
        <f t="shared" si="14"/>
        <v>-16.666666666666664</v>
      </c>
      <c r="P59" s="50">
        <f t="shared" si="14"/>
        <v>0</v>
      </c>
    </row>
    <row r="60" spans="2:16" ht="12" x14ac:dyDescent="0.2">
      <c r="B60" s="64" t="s">
        <v>23</v>
      </c>
      <c r="C60" s="50">
        <f t="shared" si="14"/>
        <v>0</v>
      </c>
      <c r="D60" s="78">
        <f t="shared" si="14"/>
        <v>-37.710532488857609</v>
      </c>
      <c r="E60" s="50">
        <f t="shared" si="14"/>
        <v>0</v>
      </c>
      <c r="F60" s="50">
        <f t="shared" si="14"/>
        <v>0</v>
      </c>
      <c r="G60" s="92">
        <f t="shared" si="14"/>
        <v>0</v>
      </c>
      <c r="H60" s="78">
        <f t="shared" si="14"/>
        <v>0</v>
      </c>
      <c r="I60" s="50">
        <f t="shared" si="14"/>
        <v>0</v>
      </c>
      <c r="J60" s="50">
        <f t="shared" si="14"/>
        <v>0</v>
      </c>
      <c r="K60" s="92">
        <f t="shared" si="14"/>
        <v>0</v>
      </c>
      <c r="L60" s="78">
        <f t="shared" si="14"/>
        <v>0</v>
      </c>
      <c r="M60" s="92">
        <f t="shared" si="14"/>
        <v>0</v>
      </c>
      <c r="N60" s="78">
        <f t="shared" si="14"/>
        <v>0</v>
      </c>
      <c r="O60" s="50">
        <f t="shared" si="14"/>
        <v>0</v>
      </c>
      <c r="P60" s="50">
        <f t="shared" si="14"/>
        <v>-7.8702071828613951</v>
      </c>
    </row>
    <row r="61" spans="2:16" ht="12" x14ac:dyDescent="0.2">
      <c r="B61" s="64" t="s">
        <v>36</v>
      </c>
      <c r="C61" s="50">
        <f t="shared" si="14"/>
        <v>0</v>
      </c>
      <c r="D61" s="78">
        <f t="shared" si="14"/>
        <v>11.915342321307525</v>
      </c>
      <c r="E61" s="50">
        <f t="shared" si="14"/>
        <v>0</v>
      </c>
      <c r="F61" s="50">
        <f t="shared" si="14"/>
        <v>0</v>
      </c>
      <c r="G61" s="92">
        <f t="shared" si="14"/>
        <v>0</v>
      </c>
      <c r="H61" s="78">
        <f t="shared" si="14"/>
        <v>0</v>
      </c>
      <c r="I61" s="50">
        <f t="shared" si="14"/>
        <v>-100</v>
      </c>
      <c r="J61" s="50">
        <f t="shared" si="14"/>
        <v>-100</v>
      </c>
      <c r="K61" s="92">
        <f t="shared" si="14"/>
        <v>0</v>
      </c>
      <c r="L61" s="78">
        <f t="shared" si="14"/>
        <v>0</v>
      </c>
      <c r="M61" s="92">
        <f t="shared" si="14"/>
        <v>0</v>
      </c>
      <c r="N61" s="78">
        <f t="shared" si="14"/>
        <v>0</v>
      </c>
      <c r="O61" s="50">
        <f t="shared" si="14"/>
        <v>-12.5</v>
      </c>
      <c r="P61" s="50">
        <f t="shared" si="14"/>
        <v>-64.103561444025772</v>
      </c>
    </row>
    <row r="62" spans="2:16" ht="12" x14ac:dyDescent="0.2">
      <c r="B62" s="51" t="s">
        <v>24</v>
      </c>
      <c r="C62" s="67">
        <f t="shared" si="14"/>
        <v>0</v>
      </c>
      <c r="D62" s="83">
        <f t="shared" si="14"/>
        <v>-11.637884414320222</v>
      </c>
      <c r="E62" s="67">
        <f t="shared" si="14"/>
        <v>-25</v>
      </c>
      <c r="F62" s="67">
        <f t="shared" si="14"/>
        <v>0</v>
      </c>
      <c r="G62" s="93">
        <f t="shared" si="14"/>
        <v>0</v>
      </c>
      <c r="H62" s="83">
        <f t="shared" si="14"/>
        <v>0</v>
      </c>
      <c r="I62" s="67">
        <f t="shared" si="14"/>
        <v>-100</v>
      </c>
      <c r="J62" s="67">
        <f t="shared" si="14"/>
        <v>-100</v>
      </c>
      <c r="K62" s="93">
        <f t="shared" si="14"/>
        <v>0</v>
      </c>
      <c r="L62" s="83">
        <f t="shared" si="14"/>
        <v>0</v>
      </c>
      <c r="M62" s="93">
        <f t="shared" si="14"/>
        <v>0</v>
      </c>
      <c r="N62" s="83">
        <f t="shared" si="14"/>
        <v>0</v>
      </c>
      <c r="O62" s="67">
        <f t="shared" si="14"/>
        <v>-9.0909090909090917</v>
      </c>
      <c r="P62" s="67">
        <f t="shared" si="14"/>
        <v>-27.404474825723486</v>
      </c>
    </row>
    <row r="63" spans="2:16" ht="12" x14ac:dyDescent="0.2">
      <c r="B63" s="64" t="s">
        <v>25</v>
      </c>
      <c r="C63" s="50">
        <f t="shared" si="14"/>
        <v>0</v>
      </c>
      <c r="D63" s="78">
        <f t="shared" si="14"/>
        <v>-49.10828454135541</v>
      </c>
      <c r="E63" s="50">
        <f t="shared" si="14"/>
        <v>0</v>
      </c>
      <c r="F63" s="50">
        <f t="shared" si="14"/>
        <v>0</v>
      </c>
      <c r="G63" s="92">
        <f t="shared" si="14"/>
        <v>0</v>
      </c>
      <c r="H63" s="78">
        <f t="shared" si="14"/>
        <v>0</v>
      </c>
      <c r="I63" s="50">
        <f t="shared" si="14"/>
        <v>0</v>
      </c>
      <c r="J63" s="50">
        <f t="shared" si="14"/>
        <v>0</v>
      </c>
      <c r="K63" s="92">
        <f t="shared" si="14"/>
        <v>0</v>
      </c>
      <c r="L63" s="78">
        <f t="shared" si="14"/>
        <v>0</v>
      </c>
      <c r="M63" s="92">
        <f t="shared" si="14"/>
        <v>0</v>
      </c>
      <c r="N63" s="78">
        <f t="shared" si="14"/>
        <v>0</v>
      </c>
      <c r="O63" s="50">
        <f t="shared" si="14"/>
        <v>0</v>
      </c>
      <c r="P63" s="50">
        <f t="shared" si="14"/>
        <v>-19.661044349841031</v>
      </c>
    </row>
    <row r="64" spans="2:16" ht="12" x14ac:dyDescent="0.2">
      <c r="B64" s="64" t="s">
        <v>26</v>
      </c>
      <c r="C64" s="50">
        <f t="shared" si="14"/>
        <v>0</v>
      </c>
      <c r="D64" s="78">
        <f t="shared" si="14"/>
        <v>0</v>
      </c>
      <c r="E64" s="50">
        <f t="shared" si="14"/>
        <v>0</v>
      </c>
      <c r="F64" s="50">
        <f t="shared" si="14"/>
        <v>-1.6511007338225483</v>
      </c>
      <c r="G64" s="92">
        <f t="shared" si="14"/>
        <v>0</v>
      </c>
      <c r="H64" s="78">
        <f t="shared" si="14"/>
        <v>0</v>
      </c>
      <c r="I64" s="50">
        <f t="shared" si="14"/>
        <v>0</v>
      </c>
      <c r="J64" s="50">
        <f t="shared" si="14"/>
        <v>0</v>
      </c>
      <c r="K64" s="92">
        <f t="shared" si="14"/>
        <v>0</v>
      </c>
      <c r="L64" s="78">
        <f t="shared" si="14"/>
        <v>0</v>
      </c>
      <c r="M64" s="92">
        <f t="shared" si="14"/>
        <v>-100</v>
      </c>
      <c r="N64" s="78">
        <f t="shared" si="14"/>
        <v>0</v>
      </c>
      <c r="O64" s="50">
        <f t="shared" si="14"/>
        <v>-14.285714285714285</v>
      </c>
      <c r="P64" s="50">
        <f t="shared" si="14"/>
        <v>-0.54383651944627553</v>
      </c>
    </row>
    <row r="65" spans="2:16" ht="12" x14ac:dyDescent="0.2">
      <c r="B65" s="64" t="s">
        <v>27</v>
      </c>
      <c r="C65" s="50">
        <f t="shared" si="14"/>
        <v>-20</v>
      </c>
      <c r="D65" s="78">
        <f t="shared" si="14"/>
        <v>-8.0848913592723601</v>
      </c>
      <c r="E65" s="50">
        <f t="shared" si="14"/>
        <v>0</v>
      </c>
      <c r="F65" s="50">
        <f t="shared" si="14"/>
        <v>0</v>
      </c>
      <c r="G65" s="92">
        <f t="shared" si="14"/>
        <v>0</v>
      </c>
      <c r="H65" s="78">
        <f t="shared" si="14"/>
        <v>0</v>
      </c>
      <c r="I65" s="50">
        <f t="shared" si="14"/>
        <v>0</v>
      </c>
      <c r="J65" s="50">
        <f t="shared" si="14"/>
        <v>0</v>
      </c>
      <c r="K65" s="92">
        <f t="shared" si="14"/>
        <v>0</v>
      </c>
      <c r="L65" s="78">
        <f t="shared" si="14"/>
        <v>0</v>
      </c>
      <c r="M65" s="92">
        <f t="shared" si="14"/>
        <v>0</v>
      </c>
      <c r="N65" s="78">
        <f>+IF(N27=0,0,((N46-N27)/N27*100))</f>
        <v>0</v>
      </c>
      <c r="O65" s="50">
        <f t="shared" si="14"/>
        <v>-7.1428571428571423</v>
      </c>
      <c r="P65" s="50">
        <f t="shared" si="14"/>
        <v>-1.5309539756961057</v>
      </c>
    </row>
    <row r="66" spans="2:16" ht="12" x14ac:dyDescent="0.2">
      <c r="B66" s="51" t="s">
        <v>28</v>
      </c>
      <c r="C66" s="67">
        <f t="shared" si="14"/>
        <v>-8.3333333333333321</v>
      </c>
      <c r="D66" s="83">
        <f t="shared" si="14"/>
        <v>-25.05569996286669</v>
      </c>
      <c r="E66" s="67">
        <f t="shared" si="14"/>
        <v>0</v>
      </c>
      <c r="F66" s="67">
        <f t="shared" si="14"/>
        <v>-0.61830559285513531</v>
      </c>
      <c r="G66" s="93">
        <f t="shared" si="14"/>
        <v>0</v>
      </c>
      <c r="H66" s="83">
        <f t="shared" si="14"/>
        <v>0</v>
      </c>
      <c r="I66" s="67">
        <f t="shared" si="14"/>
        <v>0</v>
      </c>
      <c r="J66" s="67">
        <f t="shared" si="14"/>
        <v>0</v>
      </c>
      <c r="K66" s="93">
        <f t="shared" si="14"/>
        <v>0</v>
      </c>
      <c r="L66" s="83">
        <f t="shared" si="14"/>
        <v>0</v>
      </c>
      <c r="M66" s="93">
        <f t="shared" si="14"/>
        <v>-33.333333333333329</v>
      </c>
      <c r="N66" s="83">
        <f>+IF(N28=0,0,((N47-N28)/N28*100))</f>
        <v>0</v>
      </c>
      <c r="O66" s="67">
        <f t="shared" si="14"/>
        <v>-6.25</v>
      </c>
      <c r="P66" s="67">
        <f t="shared" si="14"/>
        <v>-6.5950054461467511</v>
      </c>
    </row>
    <row r="67" spans="2:16" ht="12.75" thickBot="1" x14ac:dyDescent="0.25">
      <c r="B67" s="65" t="s">
        <v>35</v>
      </c>
      <c r="C67" s="66">
        <f t="shared" si="14"/>
        <v>-1.4084507042253522</v>
      </c>
      <c r="D67" s="84">
        <f t="shared" si="14"/>
        <v>-3.4412965174558865</v>
      </c>
      <c r="E67" s="66">
        <f t="shared" si="14"/>
        <v>-6.0606060606060606</v>
      </c>
      <c r="F67" s="66">
        <f t="shared" si="14"/>
        <v>-0.16610877608033625</v>
      </c>
      <c r="G67" s="94">
        <f t="shared" si="14"/>
        <v>0</v>
      </c>
      <c r="H67" s="84">
        <f t="shared" si="14"/>
        <v>0</v>
      </c>
      <c r="I67" s="66">
        <f t="shared" si="14"/>
        <v>-16.666666666666664</v>
      </c>
      <c r="J67" s="66">
        <f t="shared" si="14"/>
        <v>-68.998805985316153</v>
      </c>
      <c r="K67" s="94">
        <f>+IF(K29=0,0,((K48-K29)/K29*100))</f>
        <v>0</v>
      </c>
      <c r="L67" s="84">
        <f t="shared" si="14"/>
        <v>0</v>
      </c>
      <c r="M67" s="94">
        <f t="shared" si="14"/>
        <v>-11.111111111111111</v>
      </c>
      <c r="N67" s="84">
        <f t="shared" si="14"/>
        <v>0</v>
      </c>
      <c r="O67" s="66">
        <f t="shared" si="14"/>
        <v>-4.5454545454545459</v>
      </c>
      <c r="P67" s="66">
        <f t="shared" si="14"/>
        <v>-9.5459954105940081</v>
      </c>
    </row>
    <row r="68" spans="2:16" ht="14.25" x14ac:dyDescent="0.3">
      <c r="B68" s="16"/>
      <c r="C68" s="17"/>
      <c r="D68" s="18"/>
      <c r="E68" s="17"/>
      <c r="F68" s="18"/>
      <c r="G68" s="17"/>
      <c r="H68" s="18"/>
      <c r="I68" s="17"/>
      <c r="J68" s="18"/>
      <c r="K68" s="17"/>
      <c r="L68" s="18"/>
      <c r="M68" s="19"/>
      <c r="N68" s="18"/>
      <c r="O68" s="18"/>
      <c r="P68" s="18"/>
    </row>
    <row r="69" spans="2:16" ht="12.75" x14ac:dyDescent="0.2">
      <c r="B69" s="36" t="s">
        <v>47</v>
      </c>
      <c r="C69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/>
      <c r="P69"/>
    </row>
    <row r="71" spans="2:16" ht="12.75" x14ac:dyDescent="0.2">
      <c r="B71" s="36"/>
      <c r="C71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/>
      <c r="P71"/>
    </row>
    <row r="72" spans="2:16" ht="15.75" x14ac:dyDescent="0.25">
      <c r="B72" s="38"/>
      <c r="C72" s="38"/>
      <c r="D72" s="38"/>
      <c r="E72" s="38"/>
      <c r="F72" s="38"/>
      <c r="G72" s="38"/>
      <c r="K72" s="23"/>
      <c r="L72" s="23"/>
      <c r="M72" s="23"/>
      <c r="N72" s="23"/>
      <c r="O72" s="23"/>
      <c r="P72" s="23"/>
    </row>
  </sheetData>
  <mergeCells count="8">
    <mergeCell ref="C9:P9"/>
    <mergeCell ref="M10:N10"/>
    <mergeCell ref="O10:P10"/>
    <mergeCell ref="C10:D10"/>
    <mergeCell ref="E10:F10"/>
    <mergeCell ref="G10:H10"/>
    <mergeCell ref="I10:J10"/>
    <mergeCell ref="K10:L10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R23"/>
  <sheetViews>
    <sheetView zoomScaleNormal="100" workbookViewId="0">
      <selection activeCell="I30" sqref="I30"/>
    </sheetView>
  </sheetViews>
  <sheetFormatPr defaultRowHeight="12.75" x14ac:dyDescent="0.2"/>
  <cols>
    <col min="1" max="1" width="1.140625" customWidth="1"/>
    <col min="2" max="2" width="36.42578125" customWidth="1"/>
    <col min="3" max="13" width="6.140625" customWidth="1"/>
    <col min="14" max="14" width="8.28515625" customWidth="1"/>
  </cols>
  <sheetData>
    <row r="2" spans="2:14" s="23" customFormat="1" x14ac:dyDescent="0.2">
      <c r="B2" s="24" t="str">
        <f ca="1">MID(CELL("filename",A1),FIND("]",CELL("filename",A1))+1,255)</f>
        <v>Table 2.4.3-E1</v>
      </c>
    </row>
    <row r="3" spans="2:14" s="23" customFormat="1" x14ac:dyDescent="0.2"/>
    <row r="4" spans="2:14" s="23" customFormat="1" x14ac:dyDescent="0.2">
      <c r="B4" s="1" t="s">
        <v>6</v>
      </c>
    </row>
    <row r="5" spans="2:14" s="23" customFormat="1" x14ac:dyDescent="0.2">
      <c r="B5" s="1" t="s">
        <v>92</v>
      </c>
    </row>
    <row r="6" spans="2:14" s="23" customFormat="1" x14ac:dyDescent="0.2">
      <c r="B6" s="1" t="s">
        <v>64</v>
      </c>
    </row>
    <row r="7" spans="2:14" s="23" customFormat="1" x14ac:dyDescent="0.2">
      <c r="B7" s="1" t="s">
        <v>66</v>
      </c>
    </row>
    <row r="9" spans="2:14" ht="33.75" x14ac:dyDescent="0.2">
      <c r="B9" s="98" t="s">
        <v>118</v>
      </c>
      <c r="C9" s="40">
        <v>2001</v>
      </c>
      <c r="D9" s="40">
        <v>2002</v>
      </c>
      <c r="E9" s="40">
        <v>2003</v>
      </c>
      <c r="F9" s="40">
        <v>2004</v>
      </c>
      <c r="G9" s="40">
        <v>2005</v>
      </c>
      <c r="H9" s="40">
        <v>2006</v>
      </c>
      <c r="I9" s="40">
        <v>2007</v>
      </c>
      <c r="J9" s="40">
        <v>2008</v>
      </c>
      <c r="K9" s="40">
        <v>2009</v>
      </c>
      <c r="L9" s="40">
        <v>2010</v>
      </c>
      <c r="M9" s="40">
        <v>2011</v>
      </c>
      <c r="N9" s="40" t="s">
        <v>46</v>
      </c>
    </row>
    <row r="10" spans="2:14" x14ac:dyDescent="0.2">
      <c r="B10" s="28" t="s">
        <v>37</v>
      </c>
      <c r="C10" s="41">
        <v>251</v>
      </c>
      <c r="D10" s="41">
        <v>154</v>
      </c>
      <c r="E10" s="41">
        <f>132+19+2+4</f>
        <v>157</v>
      </c>
      <c r="F10" s="41">
        <v>150</v>
      </c>
      <c r="G10" s="41">
        <v>129</v>
      </c>
      <c r="H10" s="161" t="s">
        <v>78</v>
      </c>
      <c r="I10" s="161" t="s">
        <v>78</v>
      </c>
      <c r="J10" s="161" t="s">
        <v>78</v>
      </c>
      <c r="K10" s="41">
        <f>+'[18]Sum Stats 2009'!$C$4</f>
        <v>318</v>
      </c>
      <c r="L10" s="41">
        <f>+'[19]Sum Stats 2010'!$O$3</f>
        <v>208</v>
      </c>
      <c r="M10" s="41">
        <f>+'[20]Sum Stats 2011'!$O$3</f>
        <v>141</v>
      </c>
      <c r="N10" s="139">
        <f>+IF(L10=0,0,((M10-L10)/L10*100))</f>
        <v>-32.211538461538467</v>
      </c>
    </row>
    <row r="11" spans="2:14" x14ac:dyDescent="0.2">
      <c r="B11" s="25" t="s">
        <v>56</v>
      </c>
      <c r="C11" s="42">
        <v>138</v>
      </c>
      <c r="D11" s="42">
        <v>97</v>
      </c>
      <c r="E11" s="42">
        <v>95</v>
      </c>
      <c r="F11" s="42">
        <v>105</v>
      </c>
      <c r="G11" s="42">
        <v>68</v>
      </c>
      <c r="H11" s="162" t="s">
        <v>78</v>
      </c>
      <c r="I11" s="162" t="s">
        <v>78</v>
      </c>
      <c r="J11" s="162" t="s">
        <v>78</v>
      </c>
      <c r="K11" s="42">
        <f>+'[18]Sum Stats 2009'!$C$6</f>
        <v>101</v>
      </c>
      <c r="L11" s="42">
        <f>+'[19]Sum Stats 2010'!$O$5</f>
        <v>39</v>
      </c>
      <c r="M11" s="42">
        <f>+'[20]Sum Stats 2011'!$O$5</f>
        <v>49</v>
      </c>
      <c r="N11" s="140">
        <f t="shared" ref="N11:N19" si="0">+IF(L11=0,0,((M11-L11)/L11*100))</f>
        <v>25.641025641025639</v>
      </c>
    </row>
    <row r="12" spans="2:14" x14ac:dyDescent="0.2">
      <c r="B12" s="25" t="s">
        <v>38</v>
      </c>
      <c r="C12" s="42">
        <v>56</v>
      </c>
      <c r="D12" s="42">
        <v>42</v>
      </c>
      <c r="E12" s="42">
        <v>65</v>
      </c>
      <c r="F12" s="42">
        <v>76</v>
      </c>
      <c r="G12" s="42">
        <v>78</v>
      </c>
      <c r="H12" s="162" t="s">
        <v>78</v>
      </c>
      <c r="I12" s="162" t="s">
        <v>78</v>
      </c>
      <c r="J12" s="162" t="s">
        <v>78</v>
      </c>
      <c r="K12" s="42">
        <f>+'[18]Sum Stats 2009'!$C$7</f>
        <v>62</v>
      </c>
      <c r="L12" s="42">
        <f>+'[19]Sum Stats 2010'!$O$6</f>
        <v>50</v>
      </c>
      <c r="M12" s="42">
        <f>+'[20]Sum Stats 2011'!$O$6</f>
        <v>53</v>
      </c>
      <c r="N12" s="140">
        <f t="shared" si="0"/>
        <v>6</v>
      </c>
    </row>
    <row r="13" spans="2:14" x14ac:dyDescent="0.2">
      <c r="B13" s="25" t="s">
        <v>39</v>
      </c>
      <c r="C13" s="42">
        <v>27</v>
      </c>
      <c r="D13" s="42">
        <v>45</v>
      </c>
      <c r="E13" s="42">
        <v>29</v>
      </c>
      <c r="F13" s="42">
        <v>54</v>
      </c>
      <c r="G13" s="42">
        <v>47</v>
      </c>
      <c r="H13" s="162" t="s">
        <v>78</v>
      </c>
      <c r="I13" s="162" t="s">
        <v>78</v>
      </c>
      <c r="J13" s="162" t="s">
        <v>78</v>
      </c>
      <c r="K13" s="42">
        <f>+'[18]Sum Stats 2009'!$C$5</f>
        <v>18</v>
      </c>
      <c r="L13" s="42">
        <f>+'[19]Sum Stats 2010'!$O$4</f>
        <v>33</v>
      </c>
      <c r="M13" s="42">
        <f>+'[20]Sum Stats 2011'!$O$4</f>
        <v>35</v>
      </c>
      <c r="N13" s="140">
        <f t="shared" si="0"/>
        <v>6.0606060606060606</v>
      </c>
    </row>
    <row r="14" spans="2:14" x14ac:dyDescent="0.2">
      <c r="B14" s="25" t="s">
        <v>40</v>
      </c>
      <c r="C14" s="42">
        <v>6</v>
      </c>
      <c r="D14" s="42">
        <v>64</v>
      </c>
      <c r="E14" s="42">
        <v>79</v>
      </c>
      <c r="F14" s="42">
        <v>85</v>
      </c>
      <c r="G14" s="42">
        <v>61</v>
      </c>
      <c r="H14" s="162" t="s">
        <v>78</v>
      </c>
      <c r="I14" s="162" t="s">
        <v>78</v>
      </c>
      <c r="J14" s="162" t="s">
        <v>78</v>
      </c>
      <c r="K14" s="42">
        <f>+'[18]Sum Stats 2009'!$C$9</f>
        <v>125</v>
      </c>
      <c r="L14" s="42">
        <f>+'[19]Sum Stats 2010'!$O$8</f>
        <v>51</v>
      </c>
      <c r="M14" s="42">
        <f>+'[20]Sum Stats 2011'!$O$8</f>
        <v>70</v>
      </c>
      <c r="N14" s="140">
        <f t="shared" si="0"/>
        <v>37.254901960784316</v>
      </c>
    </row>
    <row r="15" spans="2:14" x14ac:dyDescent="0.2">
      <c r="B15" s="25" t="s">
        <v>41</v>
      </c>
      <c r="C15" s="42"/>
      <c r="D15" s="42"/>
      <c r="E15" s="42"/>
      <c r="F15" s="42"/>
      <c r="G15" s="42"/>
      <c r="H15" s="42"/>
      <c r="I15" s="42"/>
      <c r="J15" s="42"/>
      <c r="K15" s="42">
        <f>+'[18]Sum Stats 2009'!$C$8</f>
        <v>2</v>
      </c>
      <c r="L15" s="42">
        <f>+'[19]Sum Stats 2010'!$O$7</f>
        <v>10</v>
      </c>
      <c r="M15" s="42">
        <f>+'[20]Sum Stats 2011'!$O$7</f>
        <v>14</v>
      </c>
      <c r="N15" s="140">
        <f t="shared" si="0"/>
        <v>40</v>
      </c>
    </row>
    <row r="16" spans="2:14" x14ac:dyDescent="0.2">
      <c r="B16" s="25" t="s">
        <v>42</v>
      </c>
      <c r="C16" s="42">
        <v>3</v>
      </c>
      <c r="D16" s="42">
        <v>1</v>
      </c>
      <c r="E16" s="42">
        <v>0</v>
      </c>
      <c r="F16" s="42">
        <v>0</v>
      </c>
      <c r="G16" s="42">
        <v>0</v>
      </c>
      <c r="H16" s="42"/>
      <c r="I16" s="42"/>
      <c r="J16" s="42"/>
      <c r="K16" s="42"/>
      <c r="L16" s="42"/>
      <c r="M16" s="42"/>
      <c r="N16" s="140">
        <f t="shared" si="0"/>
        <v>0</v>
      </c>
    </row>
    <row r="17" spans="1:18" x14ac:dyDescent="0.2">
      <c r="B17" s="28" t="s">
        <v>43</v>
      </c>
      <c r="C17" s="99">
        <f>SUM(C10:C16)</f>
        <v>481</v>
      </c>
      <c r="D17" s="99">
        <f>SUM(D10:D16)</f>
        <v>403</v>
      </c>
      <c r="E17" s="99">
        <f>SUM(E10:E16)</f>
        <v>425</v>
      </c>
      <c r="F17" s="99">
        <f>SUM(F10:F16)</f>
        <v>470</v>
      </c>
      <c r="G17" s="99">
        <f>SUM(G10:G16)</f>
        <v>383</v>
      </c>
      <c r="H17" s="161" t="s">
        <v>78</v>
      </c>
      <c r="I17" s="161" t="s">
        <v>78</v>
      </c>
      <c r="J17" s="161" t="s">
        <v>78</v>
      </c>
      <c r="K17" s="99">
        <f t="shared" ref="K17:M17" si="1">SUM(K10:K16)</f>
        <v>626</v>
      </c>
      <c r="L17" s="99">
        <f t="shared" si="1"/>
        <v>391</v>
      </c>
      <c r="M17" s="99">
        <f t="shared" si="1"/>
        <v>362</v>
      </c>
      <c r="N17" s="139">
        <f>+IF(L17=0,0,((M17-L17)/L17*100))</f>
        <v>-7.4168797953964196</v>
      </c>
    </row>
    <row r="18" spans="1:18" x14ac:dyDescent="0.2">
      <c r="B18" s="25" t="s">
        <v>44</v>
      </c>
      <c r="C18" s="43">
        <v>33</v>
      </c>
      <c r="D18" s="43">
        <v>24</v>
      </c>
      <c r="E18" s="43">
        <v>0</v>
      </c>
      <c r="F18" s="43">
        <v>0</v>
      </c>
      <c r="G18" s="100">
        <v>8</v>
      </c>
      <c r="H18" s="162" t="s">
        <v>78</v>
      </c>
      <c r="I18" s="162" t="s">
        <v>78</v>
      </c>
      <c r="J18" s="162" t="s">
        <v>78</v>
      </c>
      <c r="K18" s="100">
        <f>+K17-K19</f>
        <v>626</v>
      </c>
      <c r="L18" s="100">
        <f>+L17-L19</f>
        <v>110</v>
      </c>
      <c r="M18" s="100">
        <f>+M17-M19</f>
        <v>75</v>
      </c>
      <c r="N18" s="140">
        <f>+IF(L18=0,0,((M18-L18)/L18*100))</f>
        <v>-31.818181818181817</v>
      </c>
      <c r="P18" s="10"/>
      <c r="Q18" s="4"/>
      <c r="R18" s="10"/>
    </row>
    <row r="19" spans="1:18" ht="13.5" thickBot="1" x14ac:dyDescent="0.25">
      <c r="B19" s="27" t="s">
        <v>45</v>
      </c>
      <c r="C19" s="101">
        <f>+C17-C18</f>
        <v>448</v>
      </c>
      <c r="D19" s="101">
        <f>+D17-D18</f>
        <v>379</v>
      </c>
      <c r="E19" s="101">
        <f>+E17-E18</f>
        <v>425</v>
      </c>
      <c r="F19" s="101">
        <f>+F17-F18</f>
        <v>470</v>
      </c>
      <c r="G19" s="102">
        <v>375</v>
      </c>
      <c r="H19" s="163" t="s">
        <v>78</v>
      </c>
      <c r="I19" s="163" t="s">
        <v>78</v>
      </c>
      <c r="J19" s="163" t="s">
        <v>78</v>
      </c>
      <c r="K19" s="102">
        <f>+[18]Inspections!$D$10</f>
        <v>0</v>
      </c>
      <c r="L19" s="102">
        <f>+'[19]Sum Stats 2010'!$O$18</f>
        <v>281</v>
      </c>
      <c r="M19" s="102">
        <f>+'[20]Sum Stats 2011'!$O$18</f>
        <v>287</v>
      </c>
      <c r="N19" s="141">
        <f t="shared" si="0"/>
        <v>2.1352313167259789</v>
      </c>
      <c r="P19" s="10"/>
      <c r="Q19" s="4"/>
      <c r="R19" s="10"/>
    </row>
    <row r="20" spans="1:18" x14ac:dyDescent="0.2">
      <c r="N20" s="21"/>
      <c r="P20" s="4"/>
      <c r="Q20" s="4"/>
      <c r="R20" s="4"/>
    </row>
    <row r="21" spans="1:18" s="23" customFormat="1" x14ac:dyDescent="0.2">
      <c r="A21" s="62"/>
      <c r="B21" s="36" t="s">
        <v>47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</row>
    <row r="22" spans="1:18" s="23" customFormat="1" ht="6.75" customHeight="1" x14ac:dyDescent="0.25">
      <c r="B22" s="38"/>
      <c r="C22" s="38"/>
      <c r="D22" s="38"/>
      <c r="E22" s="38"/>
      <c r="F22" s="38"/>
      <c r="G22" s="38"/>
      <c r="H22" s="2"/>
      <c r="I22" s="2"/>
      <c r="J22" s="2"/>
    </row>
    <row r="23" spans="1:18" s="23" customFormat="1" x14ac:dyDescent="0.2">
      <c r="A23" s="62"/>
      <c r="B23" s="36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</sheetData>
  <pageMargins left="0.25" right="0.2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X30"/>
  <sheetViews>
    <sheetView zoomScaleNormal="100" workbookViewId="0">
      <pane xSplit="2" ySplit="9" topLeftCell="T10" activePane="bottomRight" state="frozen"/>
      <selection pane="topRight" activeCell="C1" sqref="C1"/>
      <selection pane="bottomLeft" activeCell="A10" sqref="A10"/>
      <selection pane="bottomRight" activeCell="W17" sqref="W17"/>
    </sheetView>
  </sheetViews>
  <sheetFormatPr defaultRowHeight="12.75" x14ac:dyDescent="0.2"/>
  <cols>
    <col min="1" max="1" width="1.140625" customWidth="1"/>
    <col min="2" max="2" width="16.7109375" customWidth="1"/>
    <col min="3" max="23" width="11.28515625" customWidth="1"/>
    <col min="24" max="24" width="9.7109375" customWidth="1"/>
  </cols>
  <sheetData>
    <row r="2" spans="2:24" s="23" customFormat="1" x14ac:dyDescent="0.2">
      <c r="B2" s="24" t="str">
        <f ca="1">MID(CELL("filename",A1),FIND("]",CELL("filename",A1))+1,255)</f>
        <v>Table 2.4.3-C1</v>
      </c>
    </row>
    <row r="3" spans="2:24" s="23" customFormat="1" x14ac:dyDescent="0.2"/>
    <row r="4" spans="2:24" s="23" customFormat="1" x14ac:dyDescent="0.2">
      <c r="B4" s="1" t="s">
        <v>6</v>
      </c>
    </row>
    <row r="5" spans="2:24" s="23" customFormat="1" x14ac:dyDescent="0.2">
      <c r="B5" s="1" t="s">
        <v>48</v>
      </c>
    </row>
    <row r="6" spans="2:24" s="23" customFormat="1" x14ac:dyDescent="0.2">
      <c r="B6" s="1" t="s">
        <v>120</v>
      </c>
    </row>
    <row r="7" spans="2:24" s="23" customFormat="1" x14ac:dyDescent="0.2">
      <c r="B7" s="1" t="s">
        <v>68</v>
      </c>
    </row>
    <row r="8" spans="2:24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2:24" s="32" customFormat="1" ht="24" x14ac:dyDescent="0.2">
      <c r="B9" s="118" t="s">
        <v>29</v>
      </c>
      <c r="C9" s="114">
        <v>1999</v>
      </c>
      <c r="D9" s="114">
        <v>2000</v>
      </c>
      <c r="E9" s="115">
        <v>2001</v>
      </c>
      <c r="F9" s="115">
        <v>2002</v>
      </c>
      <c r="G9" s="115">
        <v>2003</v>
      </c>
      <c r="H9" s="115">
        <v>2004</v>
      </c>
      <c r="I9" s="115">
        <v>2005</v>
      </c>
      <c r="J9" s="115">
        <v>2006</v>
      </c>
      <c r="K9" s="115">
        <v>2007</v>
      </c>
      <c r="L9" s="115">
        <v>2008</v>
      </c>
      <c r="M9" s="115">
        <v>2009</v>
      </c>
      <c r="N9" s="115">
        <v>2010</v>
      </c>
      <c r="O9" s="115">
        <v>2011</v>
      </c>
      <c r="P9" s="115">
        <v>2012</v>
      </c>
      <c r="Q9" s="115">
        <v>2013</v>
      </c>
      <c r="R9" s="115">
        <v>2014</v>
      </c>
      <c r="S9" s="115">
        <v>2015</v>
      </c>
      <c r="T9" s="115">
        <v>2016</v>
      </c>
      <c r="U9" s="115">
        <v>2017</v>
      </c>
      <c r="V9" s="115">
        <v>2018</v>
      </c>
      <c r="W9" s="115">
        <v>2019</v>
      </c>
      <c r="X9" s="116" t="s">
        <v>121</v>
      </c>
    </row>
    <row r="10" spans="2:24" x14ac:dyDescent="0.2">
      <c r="B10" s="142" t="s">
        <v>14</v>
      </c>
      <c r="C10" s="103">
        <f>42.5*1600</f>
        <v>68000</v>
      </c>
      <c r="D10" s="103">
        <f>29995*42.5</f>
        <v>1274787.5</v>
      </c>
      <c r="E10" s="103">
        <f>(7000+6195+2800+17500+17640)*42.5</f>
        <v>2173237.5</v>
      </c>
      <c r="F10" s="103">
        <f>(10500+2144.9+1300.44+17640)*42.5</f>
        <v>1342376.95</v>
      </c>
      <c r="G10" s="103">
        <f>(21000+6825)*42.5</f>
        <v>1182562.5</v>
      </c>
      <c r="H10" s="103">
        <f>+'[21]Cement imports by month'!$H$6*42.5</f>
        <v>2560792.4500000002</v>
      </c>
      <c r="I10" s="104">
        <f>+'[22]Cement imports by month'!$I6*42.5</f>
        <v>1089737.4000000001</v>
      </c>
      <c r="J10" s="104">
        <f>'[23]Cement imports by month'!$J$6*42.5</f>
        <v>2154478.85</v>
      </c>
      <c r="K10" s="104">
        <f>+'[23]Cement imports by month'!K6*42.5</f>
        <v>4461012.5</v>
      </c>
      <c r="L10" s="104">
        <f>+'[23]Cement imports by month'!L6*42.5</f>
        <v>2579537.5</v>
      </c>
      <c r="M10" s="104">
        <f>+'[23]Cement Blocks imports by month'!M6*42.5</f>
        <v>2090787.5</v>
      </c>
      <c r="N10" s="104">
        <f>+'[23]Cement Blocks imports by month'!$N$6*42.5</f>
        <v>423937.5</v>
      </c>
      <c r="O10" s="104">
        <f>+'[23]Cement imports by month'!$O$6*42.5</f>
        <v>2320500</v>
      </c>
      <c r="P10" s="104">
        <f>'[23]Cement imports by month'!P6*42.5</f>
        <v>0</v>
      </c>
      <c r="Q10" s="104">
        <f>'[23]Cement imports by month'!Q6*42.5</f>
        <v>361250</v>
      </c>
      <c r="R10" s="104">
        <f>+'[23]Cement imports by month'!C51+'[23]Cement imports by month'!D51</f>
        <v>817730.22727272729</v>
      </c>
      <c r="S10" s="104">
        <f>+'[23]Cement imports by month'!E51+'[23]Cement imports by month'!F51</f>
        <v>848205</v>
      </c>
      <c r="T10" s="104">
        <f>+'[23]Cement imports by month'!G51+'[23]Cement imports by month'!H51</f>
        <v>1353957.0454545454</v>
      </c>
      <c r="U10" s="104">
        <f>'[24]Cement imports by month'!I51+'[24]Cement imports by month'!J51</f>
        <v>1090907.9545454546</v>
      </c>
      <c r="V10" s="104">
        <f>'[24]Cement imports by month'!$K51+'[24]Cement imports by month'!$L51</f>
        <v>1208762.7272727273</v>
      </c>
      <c r="W10" s="104">
        <f>'[25]Cement imports by month'!$M$51+'[25]Cement imports by month'!$N$51</f>
        <v>647794.54545454541</v>
      </c>
      <c r="X10" s="105">
        <f>+IF(V10=0,0,(W10-V10)/V10*100)</f>
        <v>-46.408461243991795</v>
      </c>
    </row>
    <row r="11" spans="2:24" x14ac:dyDescent="0.2">
      <c r="B11" s="143" t="s">
        <v>15</v>
      </c>
      <c r="C11" s="106">
        <f>42.5*34625</f>
        <v>1471562.5</v>
      </c>
      <c r="D11" s="106">
        <f>42.5*17535</f>
        <v>745237.5</v>
      </c>
      <c r="E11" s="106">
        <f>(5250+13776+660)*42.5</f>
        <v>836655</v>
      </c>
      <c r="F11" s="106">
        <f>(14000+2211.06+1367.03+14070+9800+5250)*42.5</f>
        <v>1984668.825</v>
      </c>
      <c r="G11" s="106">
        <f>(4375+2625+12390+19250)*42.5</f>
        <v>1642200</v>
      </c>
      <c r="H11" s="106">
        <f>+'[21]Cement imports by month'!$H$7*42.5</f>
        <v>324640.07500000001</v>
      </c>
      <c r="I11" s="107">
        <f>+'[22]Cement imports by month'!$I7*42.5</f>
        <v>2665245.125</v>
      </c>
      <c r="J11" s="107">
        <f>'[23]Cement imports by month'!$J$7*42.5</f>
        <v>965387.5</v>
      </c>
      <c r="K11" s="107">
        <f>+'[23]Cement imports by month'!K7*42.5</f>
        <v>3394262.5</v>
      </c>
      <c r="L11" s="107">
        <f>+'[23]Cement imports by month'!L7*42.5</f>
        <v>4021987.5</v>
      </c>
      <c r="M11" s="107">
        <f>+'[23]Cement Blocks imports by month'!M7*42.5</f>
        <v>4043662.5</v>
      </c>
      <c r="N11" s="107">
        <f>+'[23]Cement imports by month'!$N$7*42.5</f>
        <v>425</v>
      </c>
      <c r="O11" s="107">
        <f>+'[23]Cement imports by month'!$O$7*42.5</f>
        <v>1970937.5</v>
      </c>
      <c r="P11" s="107">
        <f>'[23]Cement imports by month'!P7*42.5</f>
        <v>1239087.5</v>
      </c>
      <c r="Q11" s="107">
        <f>'[23]Cement imports by month'!Q7*42.5</f>
        <v>528572.5</v>
      </c>
      <c r="R11" s="107">
        <f>+'[23]Cement imports by month'!C52+'[23]Cement imports by month'!D52</f>
        <v>318154.54545454547</v>
      </c>
      <c r="S11" s="107">
        <f>+'[23]Cement imports by month'!E52+'[23]Cement imports by month'!F52</f>
        <v>476679.54545454547</v>
      </c>
      <c r="T11" s="107">
        <f>+'[23]Cement imports by month'!G52+'[23]Cement imports by month'!H52</f>
        <v>947495</v>
      </c>
      <c r="U11" s="107">
        <f>'[24]Cement imports by month'!I52+'[24]Cement imports by month'!J52</f>
        <v>215746.36363636365</v>
      </c>
      <c r="V11" s="107">
        <f>'[24]Cement imports by month'!$K52+'[24]Cement imports by month'!$L52</f>
        <v>1140235.6818181819</v>
      </c>
      <c r="W11" s="107">
        <f>'[25]Cement imports by month'!$M$52+'[25]Cement imports by month'!$N$52</f>
        <v>955883.63636363635</v>
      </c>
      <c r="X11" s="108">
        <f t="shared" ref="X11:X21" si="0">+IF(V11=0,0,(W11-V11)/V11*100)</f>
        <v>-16.167889533204562</v>
      </c>
    </row>
    <row r="12" spans="2:24" x14ac:dyDescent="0.2">
      <c r="B12" s="143" t="s">
        <v>16</v>
      </c>
      <c r="C12" s="106">
        <f>42.5*37485</f>
        <v>1593112.5</v>
      </c>
      <c r="D12" s="106">
        <f>42.5*89110</f>
        <v>3787175</v>
      </c>
      <c r="E12" s="106">
        <f>(21000+9597+11200+2800)*42.5</f>
        <v>1895372.5</v>
      </c>
      <c r="F12" s="106">
        <f>42.5*2694.89</f>
        <v>114532.825</v>
      </c>
      <c r="G12" s="106">
        <f>(16940+1750+7000)*42.5</f>
        <v>1091825</v>
      </c>
      <c r="H12" s="106">
        <f>'[21]Cement imports by month'!$H$8*42.5</f>
        <v>2026775.2750000001</v>
      </c>
      <c r="I12" s="107">
        <f>+'[22]Cement imports by month'!$I8*42.5</f>
        <v>2648697.3250000002</v>
      </c>
      <c r="J12" s="107">
        <f>'[23]Cement imports by month'!$J$8*42.5</f>
        <v>2269197.4000000004</v>
      </c>
      <c r="K12" s="107">
        <f>+'[23]Cement imports by month'!K8*42.5</f>
        <v>2471120</v>
      </c>
      <c r="L12" s="107">
        <f>+'[23]Cement imports by month'!L8*42.5</f>
        <v>1550187.5</v>
      </c>
      <c r="M12" s="107">
        <f>+'[23]Cement Blocks imports by month'!M8*42.5</f>
        <v>780300</v>
      </c>
      <c r="N12" s="107">
        <f>+'[23]Cement imports by month'!$N$8*42.5</f>
        <v>1990275</v>
      </c>
      <c r="O12" s="107">
        <f>+'[23]Cement imports by month'!$O$8*42.5</f>
        <v>0</v>
      </c>
      <c r="P12" s="107">
        <f>'[23]Cement imports by month'!P8*42.5</f>
        <v>777112.5</v>
      </c>
      <c r="Q12" s="107">
        <f>'[23]Cement imports by month'!Q8*42.5</f>
        <v>659897.5</v>
      </c>
      <c r="R12" s="107">
        <f>+'[23]Cement imports by month'!C53+'[23]Cement imports by month'!D53</f>
        <v>2365136.3636363638</v>
      </c>
      <c r="S12" s="107">
        <f>+'[23]Cement imports by month'!E53+'[23]Cement imports by month'!F53</f>
        <v>988245.45454545459</v>
      </c>
      <c r="T12" s="107">
        <f>+'[23]Cement imports by month'!G53+'[23]Cement imports by month'!H53</f>
        <v>800306.36363636365</v>
      </c>
      <c r="U12" s="107">
        <f>'[24]Cement imports by month'!I53+'[24]Cement imports by month'!J53</f>
        <v>1081631.5909090908</v>
      </c>
      <c r="V12" s="107">
        <f>'[24]Cement imports by month'!$K53+'[24]Cement imports by month'!$L53</f>
        <v>1313971.5909090908</v>
      </c>
      <c r="W12" s="107">
        <f>'[25]Cement imports by month'!$M$53+'[25]Cement imports by month'!$N$53</f>
        <v>520062.27272727271</v>
      </c>
      <c r="X12" s="108">
        <f t="shared" si="0"/>
        <v>-60.420584712378755</v>
      </c>
    </row>
    <row r="13" spans="2:24" x14ac:dyDescent="0.2">
      <c r="B13" s="143" t="s">
        <v>49</v>
      </c>
      <c r="C13" s="106">
        <f>42.5*46550</f>
        <v>1978375</v>
      </c>
      <c r="D13" s="106">
        <f>42.5*36197</f>
        <v>1538372.5</v>
      </c>
      <c r="E13" s="106">
        <f>(17640+21000+3500+9450)*42.5</f>
        <v>2192575</v>
      </c>
      <c r="F13" s="106">
        <f>(28750+1337.66+1400.64+1316.81+700+14140)*42.5</f>
        <v>2024917.175</v>
      </c>
      <c r="G13" s="106">
        <f>(9625+4375+12+20090+630+5250)*42.5</f>
        <v>1699235</v>
      </c>
      <c r="H13" s="106">
        <f>+'[21]Cement imports by month'!$H$9*42.5</f>
        <v>1683850</v>
      </c>
      <c r="I13" s="107">
        <f>+'[22]Cement imports by month'!$I9*42.5</f>
        <v>1121799.825</v>
      </c>
      <c r="J13" s="107">
        <f>'[23]Cement imports by month'!$J$9*42.5</f>
        <v>1045712.5</v>
      </c>
      <c r="K13" s="107">
        <f>+'[23]Cement imports by month'!K9*42.5</f>
        <v>3409137.5</v>
      </c>
      <c r="L13" s="107">
        <f>+'[23]Cement imports by month'!L9*42.5</f>
        <v>1789250</v>
      </c>
      <c r="M13" s="107">
        <f>+'[23]Cement Blocks imports by month'!M9*42.5</f>
        <v>2784387.5</v>
      </c>
      <c r="N13" s="107">
        <f>+'[23]Cement imports by month'!N9*42.5</f>
        <v>743750</v>
      </c>
      <c r="O13" s="107">
        <f>+'[23]Cement imports by month'!$O$9*42.5</f>
        <v>1190000</v>
      </c>
      <c r="P13" s="107">
        <f>'[23]Cement imports by month'!P9*42.5</f>
        <v>782297.5</v>
      </c>
      <c r="Q13" s="107">
        <f>'[23]Cement imports by month'!Q9*42.5</f>
        <v>197837.5</v>
      </c>
      <c r="R13" s="107">
        <f>+'[23]Cement imports by month'!C54+'[23]Cement imports by month'!D54</f>
        <v>2682623.6363636362</v>
      </c>
      <c r="S13" s="107">
        <f>+'[23]Cement imports by month'!E54+'[23]Cement imports by month'!F54</f>
        <v>946760.22727272729</v>
      </c>
      <c r="T13" s="107">
        <f>+'[23]Cement imports by month'!G54+'[23]Cement imports by month'!H54</f>
        <v>991270</v>
      </c>
      <c r="U13" s="107">
        <f>'[24]Cement imports by month'!I54+'[24]Cement imports by month'!J54</f>
        <v>527784.54545454541</v>
      </c>
      <c r="V13" s="107">
        <f>'[24]Cement imports by month'!$K54+'[24]Cement imports by month'!$L54</f>
        <v>476330</v>
      </c>
      <c r="W13" s="107">
        <f>'[25]Cement imports by month'!$M$54+'[25]Cement imports by month'!$N$54</f>
        <v>1761738.6363636365</v>
      </c>
      <c r="X13" s="108">
        <f t="shared" si="0"/>
        <v>269.85674560989997</v>
      </c>
    </row>
    <row r="14" spans="2:24" x14ac:dyDescent="0.2">
      <c r="B14" s="143" t="s">
        <v>19</v>
      </c>
      <c r="C14" s="106">
        <f>42.5*22153</f>
        <v>941502.5</v>
      </c>
      <c r="D14" s="106">
        <f>42.5*34570</f>
        <v>1469225</v>
      </c>
      <c r="E14" s="106">
        <f>(709+709+709+709+630+17640+709)*42.5</f>
        <v>927137.5</v>
      </c>
      <c r="F14" s="106">
        <f>(1680+7000+9520+700+15750+1362.97)*42.5</f>
        <v>1530551.2250000001</v>
      </c>
      <c r="G14" s="106">
        <f>(15750+3500+680)*42.5</f>
        <v>847025</v>
      </c>
      <c r="H14" s="106">
        <f>'[21]Cement imports by month'!H10*42.5</f>
        <v>764405</v>
      </c>
      <c r="I14" s="107">
        <f>+'[22]Cement imports by month'!$I10*42.5</f>
        <v>1799067.5</v>
      </c>
      <c r="J14" s="107">
        <f>'[23]Cement imports by month'!$J$10*42.5</f>
        <v>2972498.8749999995</v>
      </c>
      <c r="K14" s="107">
        <f>+'[23]Cement imports by month'!K10*42.5</f>
        <v>2487100</v>
      </c>
      <c r="L14" s="107">
        <f>+'[23]Cement imports by month'!L10*42.5</f>
        <v>4314812.5</v>
      </c>
      <c r="M14" s="107">
        <f>+'[23]Cement Blocks imports by month'!M10*42.5</f>
        <v>1740375</v>
      </c>
      <c r="N14" s="107">
        <f>+'[23]Cement imports by month'!N10*42.5</f>
        <v>1395275</v>
      </c>
      <c r="O14" s="107">
        <f>+'[23]Cement imports by month'!$O$10*42.5</f>
        <v>0</v>
      </c>
      <c r="P14" s="107">
        <f>'[23]Cement imports by month'!P10*42.5</f>
        <v>970275</v>
      </c>
      <c r="Q14" s="107">
        <f>'[23]Cement imports by month'!Q10*42.5</f>
        <v>1119450</v>
      </c>
      <c r="R14" s="107">
        <f>+'[23]Cement imports by month'!C55+'[23]Cement imports by month'!D55</f>
        <v>1223907.9545454546</v>
      </c>
      <c r="S14" s="107">
        <f>+'[23]Cement imports by month'!E55+'[23]Cement imports by month'!F55</f>
        <v>1292861.3636363635</v>
      </c>
      <c r="T14" s="107">
        <f>+'[23]Cement imports by month'!G55+'[23]Cement imports by month'!H55</f>
        <v>1275127.5</v>
      </c>
      <c r="U14" s="107">
        <f>'[24]Cement imports by month'!I55+'[24]Cement imports by month'!J55</f>
        <v>72395.454545454544</v>
      </c>
      <c r="V14" s="107">
        <f>'[25]Cement imports by month'!$L$55+'[25]Cement imports by month'!$K$55</f>
        <v>1432429.3181818181</v>
      </c>
      <c r="W14" s="107">
        <f>'[25]Cement imports by month'!$M$55+'[25]Cement imports by month'!$N$55</f>
        <v>1535797.9545454546</v>
      </c>
      <c r="X14" s="108">
        <f t="shared" si="0"/>
        <v>7.216316718149991</v>
      </c>
    </row>
    <row r="15" spans="2:24" x14ac:dyDescent="0.2">
      <c r="B15" s="143" t="s">
        <v>20</v>
      </c>
      <c r="C15" s="106">
        <f>42.5*33495</f>
        <v>1423537.5</v>
      </c>
      <c r="D15" s="106">
        <f>42.5*102200</f>
        <v>4343500</v>
      </c>
      <c r="E15" s="106">
        <f>(21000+96+700+700+17500)*42.5</f>
        <v>1699830</v>
      </c>
      <c r="F15" s="106">
        <f>(14350+13258+1715+1510.95+12320+1362.76)*42.5</f>
        <v>1891960.175</v>
      </c>
      <c r="G15" s="106">
        <f>(17675+14140+17500+3500+2625)*42.5</f>
        <v>2356200</v>
      </c>
      <c r="H15" s="106">
        <f>+'[26]Cement imports by month'!$H$11*42.5</f>
        <v>3243047.5</v>
      </c>
      <c r="I15" s="107">
        <f>+'[22]Cement imports by month'!$I11*42.5</f>
        <v>2661010</v>
      </c>
      <c r="J15" s="107">
        <f>'[23]Cement imports by month'!$J$11*42.5</f>
        <v>757775</v>
      </c>
      <c r="K15" s="107">
        <f>+'[23]Cement imports by month'!K11*42.5</f>
        <v>1248055</v>
      </c>
      <c r="L15" s="107">
        <f>+'[23]Cement imports by month'!L11*42.5</f>
        <v>1240575</v>
      </c>
      <c r="M15" s="107">
        <f>+'[23]Cement Blocks imports by month'!M11*42.5</f>
        <v>1313250</v>
      </c>
      <c r="N15" s="107">
        <f>+'[23]Cement imports by month'!N11*42.5</f>
        <v>1046902.5</v>
      </c>
      <c r="O15" s="107">
        <f>+'[23]Cement imports by month'!$O$11*42.5</f>
        <v>0</v>
      </c>
      <c r="P15" s="107">
        <f>'[23]Cement imports by month'!P11*42.5</f>
        <v>1796900</v>
      </c>
      <c r="Q15" s="107">
        <f>'[23]Cement imports by month'!Q11*42.5</f>
        <v>828325</v>
      </c>
      <c r="R15" s="107">
        <f>+'[23]Cement imports by month'!C56+'[23]Cement imports by month'!D56</f>
        <v>321165.90909090906</v>
      </c>
      <c r="S15" s="107">
        <f>+'[23]Cement imports by month'!E56+'[23]Cement imports by month'!F56</f>
        <v>899725.22727272729</v>
      </c>
      <c r="T15" s="107">
        <f>+'[23]Cement imports by month'!G56+'[23]Cement imports by month'!H56</f>
        <v>1270998.8636363635</v>
      </c>
      <c r="U15" s="107">
        <f>'[24]Cement imports by month'!I56+'[24]Cement imports by month'!J56</f>
        <v>830489.31818181812</v>
      </c>
      <c r="V15" s="107">
        <f>'[25]Cement imports by month'!$K$56+'[25]Cement imports by month'!$L$56</f>
        <v>1211664.0909090908</v>
      </c>
      <c r="W15" s="107">
        <f>'[25]Cement imports by month'!$M$56+'[25]Cement imports by month'!$N$56</f>
        <v>1487822.0454545454</v>
      </c>
      <c r="X15" s="108">
        <f t="shared" si="0"/>
        <v>22.791626542159719</v>
      </c>
    </row>
    <row r="16" spans="2:24" x14ac:dyDescent="0.2">
      <c r="B16" s="143" t="s">
        <v>22</v>
      </c>
      <c r="C16" s="106">
        <f>42.5*51750</f>
        <v>2199375</v>
      </c>
      <c r="D16" s="106">
        <f>42.5*65317</f>
        <v>2775972.5</v>
      </c>
      <c r="E16" s="106">
        <f>(15+7+3500+42000+6300+3500+8750)*42.5</f>
        <v>2723060</v>
      </c>
      <c r="F16" s="106">
        <f>(14140+1428.29+1950+700+6265+610)*42.5</f>
        <v>1066464.825</v>
      </c>
      <c r="G16" s="106">
        <f>(11690+660.7+14000+654+9135+14)*42.5</f>
        <v>1536532.2499999998</v>
      </c>
      <c r="H16" s="106">
        <f>+'[26]Cement imports by month'!$H$12*42.5</f>
        <v>1583244.4250000003</v>
      </c>
      <c r="I16" s="107">
        <f>+'[22]Cement imports by month'!$I12*42.5</f>
        <v>1634465</v>
      </c>
      <c r="J16" s="107">
        <f>'[23]Cement imports by month'!$J$12*42.5</f>
        <v>895475</v>
      </c>
      <c r="K16" s="107">
        <f>+'[23]Cement imports by month'!K12*42.5</f>
        <v>2171325</v>
      </c>
      <c r="L16" s="107">
        <f>+'[23]Cement imports by month'!L12*42.5</f>
        <v>6765745</v>
      </c>
      <c r="M16" s="107">
        <f>+'[23]Cement Blocks imports by month'!M12*42.5</f>
        <v>729937.5</v>
      </c>
      <c r="N16" s="107">
        <f>+'[23]Cement imports by month'!N12*42.5</f>
        <v>800275</v>
      </c>
      <c r="O16" s="107">
        <f>+'[23]Cement imports by month'!$O$12*42.5</f>
        <v>1335775</v>
      </c>
      <c r="P16" s="107">
        <f>'[23]Cement imports by month'!P12*42.5</f>
        <v>926712.5</v>
      </c>
      <c r="Q16" s="107">
        <f>'[23]Cement imports by month'!Q12*42.5</f>
        <v>965685</v>
      </c>
      <c r="R16" s="107">
        <f>+'[23]Cement imports by month'!C57+'[23]Cement imports by month'!D57</f>
        <v>1485819.7727272727</v>
      </c>
      <c r="S16" s="107">
        <f>+'[23]Cement imports by month'!E57+'[23]Cement imports by month'!F57</f>
        <v>2254658.8636363638</v>
      </c>
      <c r="T16" s="107">
        <f>+'[23]Cement imports by month'!G57+'[23]Cement imports by month'!H57</f>
        <v>142375</v>
      </c>
      <c r="U16" s="107">
        <f>'[24]Cement imports by month'!I57+'[24]Cement imports by month'!J57</f>
        <v>1358008.1818181819</v>
      </c>
      <c r="V16" s="107">
        <f>'[25]Cement imports by month'!$K$57+'[25]Cement imports by month'!$L$57</f>
        <v>1315942.2727272727</v>
      </c>
      <c r="W16" s="107">
        <f>'[25]Cement imports by month'!$M$57+'[25]Cement imports by month'!$N$57</f>
        <v>580586.81818181812</v>
      </c>
      <c r="X16" s="108">
        <f t="shared" si="0"/>
        <v>-55.880525292453761</v>
      </c>
    </row>
    <row r="17" spans="1:24" x14ac:dyDescent="0.2">
      <c r="B17" s="143" t="s">
        <v>23</v>
      </c>
      <c r="C17" s="106">
        <f>42.5*23515</f>
        <v>999387.5</v>
      </c>
      <c r="D17" s="106">
        <f>42.5*44590</f>
        <v>1895075</v>
      </c>
      <c r="E17" s="106">
        <f>(17640+2+19250+5950+7000)*42.5</f>
        <v>2118285</v>
      </c>
      <c r="F17" s="106">
        <f>(19200+9520+2608.54+725.96+2113.41+192+722.34)*42.5</f>
        <v>1490995.625</v>
      </c>
      <c r="G17" s="106">
        <f>(5250+10220+7875+19250+662.92+650.46+1750+2940+40)*42.5</f>
        <v>2067131.15</v>
      </c>
      <c r="H17" s="106">
        <f>+'[26]Cement imports by month'!$H$13*42.5</f>
        <v>1569470.3875000002</v>
      </c>
      <c r="I17" s="107">
        <f>+'[22]Cement imports by month'!$I13*42.5</f>
        <v>1093368.6000000001</v>
      </c>
      <c r="J17" s="107">
        <f>'[23]Cement imports by month'!$J$13*42.5</f>
        <v>3197275</v>
      </c>
      <c r="K17" s="107">
        <f>+'[23]Cement imports by month'!K13*42.5</f>
        <v>2095887.5</v>
      </c>
      <c r="L17" s="107">
        <f>+'[23]Cement imports by month'!L13*42.5</f>
        <v>4590000</v>
      </c>
      <c r="M17" s="107">
        <f>+'[23]Cement Blocks imports by month'!M13*42.5</f>
        <v>439875</v>
      </c>
      <c r="N17" s="107">
        <f>+'[23]Cement imports by month'!N13*42.5</f>
        <v>0</v>
      </c>
      <c r="O17" s="107">
        <f>+'[23]Cement imports by month'!$O$13*42.5</f>
        <v>0</v>
      </c>
      <c r="P17" s="107">
        <f>'[23]Cement imports by month'!P13*42.5</f>
        <v>2509412.5</v>
      </c>
      <c r="Q17" s="107">
        <f>'[23]Cement imports by month'!Q13*42.5</f>
        <v>348882.5</v>
      </c>
      <c r="R17" s="107">
        <f>+'[23]Cement imports by month'!C58+'[23]Cement imports by month'!D58</f>
        <v>2381294.7727272729</v>
      </c>
      <c r="S17" s="107">
        <f>+'[23]Cement imports by month'!E58+'[23]Cement imports by month'!F58</f>
        <v>1205700</v>
      </c>
      <c r="T17" s="107">
        <f>+'[23]Cement imports by month'!G58+'[23]Cement imports by month'!H58</f>
        <v>1376617.5</v>
      </c>
      <c r="U17" s="107">
        <f>'[24]Cement imports by month'!I58+'[24]Cement imports by month'!J58</f>
        <v>815013.18181818177</v>
      </c>
      <c r="V17" s="107">
        <f>'[25]Cement imports by month'!$L$58+'[25]Cement imports by month'!$K$58</f>
        <v>44094.545454545449</v>
      </c>
      <c r="W17" s="107">
        <f>+'[25]Cement imports by month'!$M$58+'[25]Cement imports by month'!$N$58</f>
        <v>905630.45454545459</v>
      </c>
      <c r="X17" s="108">
        <f t="shared" si="0"/>
        <v>1953.8378278080163</v>
      </c>
    </row>
    <row r="18" spans="1:24" x14ac:dyDescent="0.2">
      <c r="B18" s="143" t="s">
        <v>36</v>
      </c>
      <c r="C18" s="106">
        <f>42.5*78155</f>
        <v>3321587.5</v>
      </c>
      <c r="D18" s="106">
        <f>42.5*38745</f>
        <v>1646662.5</v>
      </c>
      <c r="E18" s="106">
        <f>(505+700+700+700+17640)*42.5</f>
        <v>860412.5</v>
      </c>
      <c r="F18" s="106">
        <f>(20510+8400+3500+1434+288)*42.5</f>
        <v>1450610</v>
      </c>
      <c r="G18" s="106">
        <f>(19250+17535+15015+5950+5548)*42.5</f>
        <v>2690165</v>
      </c>
      <c r="H18" s="106">
        <f>+'[26]Cement imports by month'!$H$14*42.5</f>
        <v>1484058.35</v>
      </c>
      <c r="I18" s="107">
        <f>+'[22]Cement imports by month'!$I14*42.5</f>
        <v>905887.5</v>
      </c>
      <c r="J18" s="106">
        <f>'[23]Cement imports by month'!$J$14*42.5</f>
        <v>3332425</v>
      </c>
      <c r="K18" s="107">
        <f>+'[23]Cement imports by month'!K14*42.5</f>
        <v>3563327.5</v>
      </c>
      <c r="L18" s="107">
        <f>+'[23]Cement imports by month'!L14*42.5</f>
        <v>3527500</v>
      </c>
      <c r="M18" s="107">
        <f>+'[23]Cement Blocks imports by month'!M14*42.5</f>
        <v>898875</v>
      </c>
      <c r="N18" s="107">
        <f>+'[23]Cement imports by month'!N14*42.5</f>
        <v>431970</v>
      </c>
      <c r="O18" s="107">
        <f>+'[23]Cement imports by month'!$O$14*42.5</f>
        <v>430185</v>
      </c>
      <c r="P18" s="107">
        <f>'[23]Cement imports by month'!P14*42.5</f>
        <v>384625</v>
      </c>
      <c r="Q18" s="107">
        <f>'[23]Cement imports by month'!Q14*42.5</f>
        <v>2032987.5</v>
      </c>
      <c r="R18" s="107">
        <f>+'[23]Cement imports by month'!C59+'[23]Cement imports by month'!D59</f>
        <v>154681.81818181818</v>
      </c>
      <c r="S18" s="107">
        <f>+'[23]Cement imports by month'!E59+'[23]Cement imports by month'!F59</f>
        <v>1546695.9090909092</v>
      </c>
      <c r="T18" s="107">
        <f>+'[23]Cement imports by month'!G59+'[23]Cement imports by month'!H59</f>
        <v>1658477.5</v>
      </c>
      <c r="U18" s="107">
        <f>'[24]Cement imports by month'!I59+'[24]Cement imports by month'!J59</f>
        <v>101720.45454545454</v>
      </c>
      <c r="V18" s="107">
        <f>'[25]Cement imports by month'!$K$59+'[25]Cement imports by month'!$L$59</f>
        <v>697405.22727272729</v>
      </c>
      <c r="W18" s="107">
        <f>+'[25]Cement imports by month'!$M$59+'[25]Cement imports by month'!$N$59</f>
        <v>1734810.9090909092</v>
      </c>
      <c r="X18" s="108">
        <f t="shared" si="0"/>
        <v>148.7522090815207</v>
      </c>
    </row>
    <row r="19" spans="1:24" x14ac:dyDescent="0.2">
      <c r="B19" s="143" t="s">
        <v>25</v>
      </c>
      <c r="C19" s="106">
        <f>42.5*160035</f>
        <v>6801487.5</v>
      </c>
      <c r="D19" s="106">
        <f>42.5*68824</f>
        <v>2925020</v>
      </c>
      <c r="E19" s="106">
        <f>(19985+2061.91+2625+8200+1400+1400)*42.5</f>
        <v>1516056.175</v>
      </c>
      <c r="F19" s="106">
        <f>(14105+15155+16450)*42.5</f>
        <v>1942675</v>
      </c>
      <c r="G19" s="106">
        <f>(140+844.61+757.08+1750+11760+1750+1750)*42.5</f>
        <v>796946.82500000007</v>
      </c>
      <c r="H19" s="106">
        <f>+'[22]Cement imports by month'!$H$15*42.5</f>
        <v>3481444.8750000005</v>
      </c>
      <c r="I19" s="107">
        <f>+'[22]Cement imports by month'!$I15*42.5</f>
        <v>296645.32500000001</v>
      </c>
      <c r="J19" s="106">
        <f>'[23]Cement imports by month'!$J$15*42.5</f>
        <v>2516850</v>
      </c>
      <c r="K19" s="107">
        <f>+'[23]Cement imports by month'!K15*42.5</f>
        <v>3253375</v>
      </c>
      <c r="L19" s="107">
        <f>+'[23]Cement imports by month'!L15*42.5</f>
        <v>5719650</v>
      </c>
      <c r="M19" s="107">
        <f>+'[23]Cement Blocks imports by month'!M15*42.5</f>
        <v>675750</v>
      </c>
      <c r="N19" s="107">
        <f>+'[23]Cement imports by month'!N15*42.5</f>
        <v>37187.5</v>
      </c>
      <c r="O19" s="107">
        <f>+'[23]Cement imports by month'!$O$15*42.5</f>
        <v>835635</v>
      </c>
      <c r="P19" s="107">
        <f>'[23]Cement imports by month'!P15*42.5</f>
        <v>675325</v>
      </c>
      <c r="Q19" s="107">
        <f>'[23]Cement imports by month'!Q15*42.5</f>
        <v>1415675</v>
      </c>
      <c r="R19" s="107">
        <f>+'[23]Cement imports by month'!C60+'[23]Cement imports by month'!D60</f>
        <v>1538810.4545454546</v>
      </c>
      <c r="S19" s="107">
        <f>+'[23]Cement imports by month'!E60+'[23]Cement imports by month'!F60</f>
        <v>2022420.6818181819</v>
      </c>
      <c r="T19" s="107">
        <f>+'[23]Cement imports by month'!G60+'[23]Cement imports by month'!H60</f>
        <v>648635</v>
      </c>
      <c r="U19" s="107">
        <f>'[24]Cement imports by month'!I60+'[24]Cement imports by month'!J60</f>
        <v>1014077.0454545454</v>
      </c>
      <c r="V19" s="107">
        <f>'[25]Cement imports by month'!$L$60+'[25]Cement imports by month'!$K$60</f>
        <v>2805403.6363636362</v>
      </c>
      <c r="W19" s="107">
        <f>'[25]Cement imports by month'!$M$60+'[25]Cement imports by month'!$N$60</f>
        <v>0</v>
      </c>
      <c r="X19" s="108">
        <f t="shared" si="0"/>
        <v>-100</v>
      </c>
    </row>
    <row r="20" spans="1:24" x14ac:dyDescent="0.2">
      <c r="B20" s="143" t="s">
        <v>26</v>
      </c>
      <c r="C20" s="106">
        <f>42.5*12845</f>
        <v>545912.5</v>
      </c>
      <c r="D20" s="106">
        <f>42.5*14070</f>
        <v>597975</v>
      </c>
      <c r="E20" s="106">
        <f>(14140+700+1300.43+2975+5534+22785+7000+700+3150)*42.5</f>
        <v>2477088.2749999999</v>
      </c>
      <c r="F20" s="106">
        <f>(3500+10150+15890)*42.5</f>
        <v>1255450</v>
      </c>
      <c r="G20" s="106">
        <f>46868*42.5</f>
        <v>1991890</v>
      </c>
      <c r="H20" s="106">
        <f>+'[22]Cement imports by month'!$H$16*42.5</f>
        <v>596420.35</v>
      </c>
      <c r="I20" s="107">
        <f>+'[22]Cement imports by month'!$I$16*42.5</f>
        <v>1492600</v>
      </c>
      <c r="J20" s="106">
        <f>'[23]Cement imports by month'!$J$16*42.5</f>
        <v>3264255</v>
      </c>
      <c r="K20" s="107">
        <f>+'[23]Cement imports by month'!K16*42.5</f>
        <v>2266440</v>
      </c>
      <c r="L20" s="107">
        <f>+'[23]Cement imports by month'!L16*42.5</f>
        <v>4660975</v>
      </c>
      <c r="M20" s="107">
        <f>+'[23]Cement Blocks imports by month'!M16*42.5</f>
        <v>251812.5</v>
      </c>
      <c r="N20" s="107">
        <f>+'[23]Cement imports by month'!N16*42.5</f>
        <v>260312.5</v>
      </c>
      <c r="O20" s="107">
        <f>+'[23]Cement imports by month'!$O$16*42.5</f>
        <v>2387437.5</v>
      </c>
      <c r="P20" s="107">
        <f>'[23]Cement imports by month'!P16*42.5</f>
        <v>739287.5</v>
      </c>
      <c r="Q20" s="107">
        <f>'[23]Cement imports by month'!Q16*42.5</f>
        <v>751060</v>
      </c>
      <c r="R20" s="107">
        <f>+'[23]Cement imports by month'!C61+'[23]Cement imports by month'!D61</f>
        <v>990377.04545454541</v>
      </c>
      <c r="S20" s="107">
        <f>+'[23]Cement imports by month'!E61+'[23]Cement imports by month'!F61</f>
        <v>723671.59090909094</v>
      </c>
      <c r="T20" s="107">
        <f>+'[23]Cement imports by month'!G61+'[23]Cement imports by month'!H61</f>
        <v>1206301.1363636362</v>
      </c>
      <c r="U20" s="107">
        <f>'[24]Cement imports by month'!I61+'[24]Cement imports by month'!J61</f>
        <v>2031085.4545454546</v>
      </c>
      <c r="V20" s="107">
        <f>'[25]Cement imports by month'!$K$61+'[25]Cement imports by month'!$L$61</f>
        <v>1289732.0454545454</v>
      </c>
      <c r="W20" s="107">
        <f>'[25]Cement imports by month'!$M$61+'[25]Cement imports by month'!$N$61</f>
        <v>0</v>
      </c>
      <c r="X20" s="108">
        <f t="shared" si="0"/>
        <v>-100</v>
      </c>
    </row>
    <row r="21" spans="1:24" x14ac:dyDescent="0.2">
      <c r="B21" s="143" t="s">
        <v>27</v>
      </c>
      <c r="C21" s="106">
        <f>42.5*49560</f>
        <v>2106300</v>
      </c>
      <c r="D21" s="106">
        <f>42.5*45150</f>
        <v>1918875</v>
      </c>
      <c r="E21" s="106">
        <f>(1400+12915)*42.5</f>
        <v>608387.5</v>
      </c>
      <c r="F21" s="106">
        <f>(9520+1750+19250)*42.5</f>
        <v>1297100</v>
      </c>
      <c r="G21" s="106">
        <f>(5250+3500+653.13)*42.5</f>
        <v>399633.02499999997</v>
      </c>
      <c r="H21" s="106">
        <f>+'[22]Cement imports by month'!$H$17*42.5</f>
        <v>2546331.8249999997</v>
      </c>
      <c r="I21" s="107">
        <f>+'[22]Cement imports by month'!$I$17*42.5</f>
        <v>1182650.9000000001</v>
      </c>
      <c r="J21" s="106">
        <f>'[23]Cement imports by month'!$J$17*42.5</f>
        <v>370727.5</v>
      </c>
      <c r="K21" s="107">
        <f>+'[23]Cement imports by month'!K17*42.5</f>
        <v>3629670</v>
      </c>
      <c r="L21" s="107">
        <f>+'[23]Cement imports by month'!L17*42.5</f>
        <v>3953562.5</v>
      </c>
      <c r="M21" s="107">
        <f>+'[23]Cement Blocks imports by month'!M17*42.5</f>
        <v>172125</v>
      </c>
      <c r="N21" s="107">
        <f>+'[23]Cement imports by month'!$N$17*42.5</f>
        <v>0</v>
      </c>
      <c r="O21" s="107">
        <f>+'[23]Cement imports by month'!$O$17*42.5</f>
        <v>446250</v>
      </c>
      <c r="P21" s="107">
        <f>'[23]Cement imports by month'!P17*42.5</f>
        <v>803250</v>
      </c>
      <c r="Q21" s="107">
        <f>'[23]Cement imports by month'!Q17*42.5</f>
        <v>1402585</v>
      </c>
      <c r="R21" s="107">
        <f>+'[23]Cement imports by month'!C62+'[23]Cement imports by month'!D62</f>
        <v>1242003.8636363635</v>
      </c>
      <c r="S21" s="107">
        <f>+'[23]Cement imports by month'!E62+'[23]Cement imports by month'!F62</f>
        <v>1520735</v>
      </c>
      <c r="T21" s="107">
        <f>+'[23]Cement imports by month'!G62+'[23]Cement imports by month'!H62</f>
        <v>855092.04545454541</v>
      </c>
      <c r="U21" s="107">
        <f>'[24]Cement imports by month'!I62+'[24]Cement imports by month'!J62</f>
        <v>965830.45454545459</v>
      </c>
      <c r="V21" s="107">
        <f>'[25]Cement imports by month'!$K$62+'[25]Cement imports by month'!$L$62</f>
        <v>57280</v>
      </c>
      <c r="W21" s="107">
        <f>'[25]Cement imports by month'!$M$62+'[25]Cement imports by month'!$N$62</f>
        <v>0</v>
      </c>
      <c r="X21" s="108">
        <f t="shared" si="0"/>
        <v>-100</v>
      </c>
    </row>
    <row r="22" spans="1:24" x14ac:dyDescent="0.2">
      <c r="B22" s="144" t="s">
        <v>35</v>
      </c>
      <c r="C22" s="109">
        <f t="shared" ref="C22:J22" si="1">SUM(C10:C21)</f>
        <v>23450140</v>
      </c>
      <c r="D22" s="109">
        <f t="shared" si="1"/>
        <v>24917877.5</v>
      </c>
      <c r="E22" s="110">
        <f t="shared" si="1"/>
        <v>20028096.949999999</v>
      </c>
      <c r="F22" s="110">
        <f t="shared" si="1"/>
        <v>17392302.625</v>
      </c>
      <c r="G22" s="110">
        <f t="shared" si="1"/>
        <v>18301345.75</v>
      </c>
      <c r="H22" s="110">
        <f t="shared" si="1"/>
        <v>21864480.512500003</v>
      </c>
      <c r="I22" s="110">
        <f t="shared" si="1"/>
        <v>18591174.5</v>
      </c>
      <c r="J22" s="110">
        <f t="shared" si="1"/>
        <v>23742057.625</v>
      </c>
      <c r="K22" s="110">
        <f t="shared" ref="K22:P22" si="2">SUM(K10:K21)</f>
        <v>34450712.5</v>
      </c>
      <c r="L22" s="110">
        <f t="shared" si="2"/>
        <v>44713782.5</v>
      </c>
      <c r="M22" s="110">
        <f t="shared" si="2"/>
        <v>15921137.5</v>
      </c>
      <c r="N22" s="110">
        <f t="shared" si="2"/>
        <v>7130310</v>
      </c>
      <c r="O22" s="110">
        <f t="shared" si="2"/>
        <v>10916720</v>
      </c>
      <c r="P22" s="110">
        <f t="shared" si="2"/>
        <v>11604285</v>
      </c>
      <c r="Q22" s="110">
        <f t="shared" ref="Q22:W22" si="3">SUM(Q10:Q21)</f>
        <v>10612207.5</v>
      </c>
      <c r="R22" s="110">
        <f t="shared" si="3"/>
        <v>15521706.363636365</v>
      </c>
      <c r="S22" s="110">
        <f t="shared" si="3"/>
        <v>14726358.863636363</v>
      </c>
      <c r="T22" s="110">
        <f t="shared" si="3"/>
        <v>12526652.954545455</v>
      </c>
      <c r="U22" s="110">
        <f t="shared" si="3"/>
        <v>10104690</v>
      </c>
      <c r="V22" s="110">
        <f t="shared" si="3"/>
        <v>12993251.136363637</v>
      </c>
      <c r="W22" s="110">
        <f t="shared" si="3"/>
        <v>10130127.272727273</v>
      </c>
      <c r="X22" s="111"/>
    </row>
    <row r="23" spans="1:24" ht="13.5" thickBot="1" x14ac:dyDescent="0.25">
      <c r="B23" s="145" t="s">
        <v>4</v>
      </c>
      <c r="C23" s="112"/>
      <c r="D23" s="113">
        <f>IF(C22=0,0,(D22-C22)/C22*100)</f>
        <v>6.2589711617926369</v>
      </c>
      <c r="E23" s="113">
        <f t="shared" ref="E23:W23" si="4">IF(D22=0,0,(E22-D22)/D22*100)</f>
        <v>-19.623583710129409</v>
      </c>
      <c r="F23" s="113">
        <f t="shared" si="4"/>
        <v>-13.160483153143513</v>
      </c>
      <c r="G23" s="113">
        <f t="shared" si="4"/>
        <v>5.2266979513875604</v>
      </c>
      <c r="H23" s="113">
        <f t="shared" si="4"/>
        <v>19.469250027692652</v>
      </c>
      <c r="I23" s="113">
        <f>IF(H22=0,0,(I22-H22)/H22*100)</f>
        <v>-14.970883989805483</v>
      </c>
      <c r="J23" s="113">
        <f t="shared" si="4"/>
        <v>27.706066257406171</v>
      </c>
      <c r="K23" s="113">
        <f t="shared" si="4"/>
        <v>45.104156700066135</v>
      </c>
      <c r="L23" s="113">
        <f t="shared" si="4"/>
        <v>29.790588511050387</v>
      </c>
      <c r="M23" s="113">
        <f t="shared" si="4"/>
        <v>-64.393221486014966</v>
      </c>
      <c r="N23" s="113">
        <f t="shared" si="4"/>
        <v>-55.214820549097077</v>
      </c>
      <c r="O23" s="113">
        <f t="shared" si="4"/>
        <v>53.103020766278043</v>
      </c>
      <c r="P23" s="113">
        <f t="shared" si="4"/>
        <v>6.2982745733150614</v>
      </c>
      <c r="Q23" s="113">
        <f t="shared" si="4"/>
        <v>-8.549234183751949</v>
      </c>
      <c r="R23" s="113">
        <f t="shared" si="4"/>
        <v>46.262748477509177</v>
      </c>
      <c r="S23" s="113">
        <f t="shared" si="4"/>
        <v>-5.1240983521200363</v>
      </c>
      <c r="T23" s="113">
        <f t="shared" si="4"/>
        <v>-14.937201581598137</v>
      </c>
      <c r="U23" s="113">
        <f t="shared" si="4"/>
        <v>-19.33447795938671</v>
      </c>
      <c r="V23" s="113">
        <f t="shared" si="4"/>
        <v>28.586340960124819</v>
      </c>
      <c r="W23" s="113">
        <f t="shared" si="4"/>
        <v>-22.035469287770979</v>
      </c>
      <c r="X23" s="112"/>
    </row>
    <row r="24" spans="1:24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4" x14ac:dyDescent="0.2">
      <c r="B25" s="187" t="s">
        <v>5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</row>
    <row r="26" spans="1:24" x14ac:dyDescent="0.2">
      <c r="B26" s="187" t="s">
        <v>75</v>
      </c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</row>
    <row r="27" spans="1:24" x14ac:dyDescent="0.2">
      <c r="V27" s="176"/>
      <c r="W27" s="176"/>
    </row>
    <row r="28" spans="1:24" s="23" customFormat="1" x14ac:dyDescent="0.2">
      <c r="A28" s="62"/>
      <c r="B28" s="36" t="s">
        <v>50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</row>
    <row r="29" spans="1:24" s="23" customFormat="1" ht="6.75" customHeight="1" x14ac:dyDescent="0.25">
      <c r="B29" s="38"/>
      <c r="C29" s="38"/>
      <c r="D29" s="38"/>
      <c r="E29" s="38"/>
      <c r="F29" s="38"/>
      <c r="G29" s="38"/>
      <c r="H29" s="2"/>
      <c r="I29" s="2"/>
      <c r="J29" s="2"/>
    </row>
    <row r="30" spans="1:24" s="23" customFormat="1" x14ac:dyDescent="0.2">
      <c r="A30" s="62"/>
      <c r="B30" s="36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</sheetData>
  <mergeCells count="2">
    <mergeCell ref="B25:X25"/>
    <mergeCell ref="B26:X26"/>
  </mergeCells>
  <pageMargins left="0.17" right="0.17" top="1" bottom="0.6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2:AA27"/>
  <sheetViews>
    <sheetView zoomScaleNormal="100" workbookViewId="0">
      <pane xSplit="2" ySplit="9" topLeftCell="U13" activePane="bottomRight" state="frozen"/>
      <selection pane="topRight" activeCell="C1" sqref="C1"/>
      <selection pane="bottomLeft" activeCell="A11" sqref="A11"/>
      <selection pane="bottomRight" activeCell="Z22" sqref="Z22:Z23"/>
    </sheetView>
  </sheetViews>
  <sheetFormatPr defaultRowHeight="12.75" x14ac:dyDescent="0.2"/>
  <cols>
    <col min="1" max="1" width="1.140625" customWidth="1"/>
    <col min="2" max="2" width="21.42578125" customWidth="1"/>
    <col min="3" max="26" width="10.42578125" customWidth="1"/>
    <col min="27" max="27" width="11" customWidth="1"/>
  </cols>
  <sheetData>
    <row r="2" spans="2:27" s="23" customFormat="1" x14ac:dyDescent="0.2">
      <c r="B2" s="24" t="str">
        <f ca="1">MID(CELL("filename",A1),FIND("]",CELL("filename",A1))+1,255)</f>
        <v>Table 2.4.3-C2</v>
      </c>
    </row>
    <row r="3" spans="2:27" s="23" customFormat="1" x14ac:dyDescent="0.2"/>
    <row r="4" spans="2:27" s="23" customFormat="1" x14ac:dyDescent="0.2">
      <c r="B4" s="1" t="s">
        <v>6</v>
      </c>
    </row>
    <row r="5" spans="2:27" s="23" customFormat="1" x14ac:dyDescent="0.2">
      <c r="B5" s="1" t="s">
        <v>51</v>
      </c>
    </row>
    <row r="6" spans="2:27" s="23" customFormat="1" x14ac:dyDescent="0.2">
      <c r="B6" s="1" t="s">
        <v>122</v>
      </c>
    </row>
    <row r="7" spans="2:27" s="23" customFormat="1" x14ac:dyDescent="0.2">
      <c r="B7" s="1" t="s">
        <v>68</v>
      </c>
    </row>
    <row r="9" spans="2:27" s="32" customFormat="1" ht="24" x14ac:dyDescent="0.2">
      <c r="B9" s="118" t="s">
        <v>1</v>
      </c>
      <c r="C9" s="114">
        <v>1999</v>
      </c>
      <c r="D9" s="114">
        <v>2000</v>
      </c>
      <c r="E9" s="115">
        <v>2001</v>
      </c>
      <c r="F9" s="115">
        <v>2002</v>
      </c>
      <c r="G9" s="115">
        <v>2003</v>
      </c>
      <c r="H9" s="115">
        <v>2004</v>
      </c>
      <c r="I9" s="115">
        <v>2005</v>
      </c>
      <c r="J9" s="115">
        <v>2006</v>
      </c>
      <c r="K9" s="115">
        <v>2007</v>
      </c>
      <c r="L9" s="115">
        <v>2008</v>
      </c>
      <c r="M9" s="115">
        <v>2009</v>
      </c>
      <c r="N9" s="115">
        <v>2010</v>
      </c>
      <c r="O9" s="115">
        <v>2011</v>
      </c>
      <c r="P9" s="115">
        <v>2012</v>
      </c>
      <c r="Q9" s="115">
        <v>2013</v>
      </c>
      <c r="R9" s="115">
        <v>2014</v>
      </c>
      <c r="S9" s="115">
        <v>2015</v>
      </c>
      <c r="T9" s="115">
        <v>2016</v>
      </c>
      <c r="U9" s="115">
        <v>2017</v>
      </c>
      <c r="V9" s="115">
        <v>2018</v>
      </c>
      <c r="W9" s="115">
        <v>2019</v>
      </c>
      <c r="X9" s="115">
        <v>2020</v>
      </c>
      <c r="Y9" s="115">
        <v>2021</v>
      </c>
      <c r="Z9" s="115">
        <v>2022</v>
      </c>
      <c r="AA9" s="116" t="s">
        <v>124</v>
      </c>
    </row>
    <row r="10" spans="2:27" x14ac:dyDescent="0.2">
      <c r="B10" s="119" t="s">
        <v>14</v>
      </c>
      <c r="C10" s="103">
        <v>17670</v>
      </c>
      <c r="D10" s="103">
        <v>16260</v>
      </c>
      <c r="E10" s="103">
        <v>1800</v>
      </c>
      <c r="F10" s="103">
        <f>2880+864</f>
        <v>3744</v>
      </c>
      <c r="G10" s="103">
        <v>0</v>
      </c>
      <c r="H10" s="103">
        <f>'[21]Cement Blocks imports by month'!H6</f>
        <v>10080</v>
      </c>
      <c r="I10" s="104">
        <f>+'[22]Cement Blocks imports by month'!$I6</f>
        <v>17250</v>
      </c>
      <c r="J10" s="104">
        <f>'[23]Cement Block by Month'!$L$40</f>
        <v>9180</v>
      </c>
      <c r="K10" s="104">
        <f>'[23]Cement Block by Month'!R40</f>
        <v>66874</v>
      </c>
      <c r="L10" s="104">
        <f>'[23]Cement Block by Month'!H57</f>
        <v>85560</v>
      </c>
      <c r="M10" s="104">
        <f>'[23]Cement Block by Month'!N57</f>
        <v>49195</v>
      </c>
      <c r="N10" s="104">
        <f>+'[23]Cement Block by Month'!$T$57</f>
        <v>9975</v>
      </c>
      <c r="O10" s="104">
        <f>'[23]Cement Block by Month'!H74</f>
        <v>12600</v>
      </c>
      <c r="P10" s="104">
        <f>'[23]Cement Block by Month'!N74</f>
        <v>6300</v>
      </c>
      <c r="Q10" s="104">
        <f>'[23]Cement Block by Month'!T74</f>
        <v>0</v>
      </c>
      <c r="R10" s="104">
        <f>'[23]Cement Block by Month'!Z74</f>
        <v>4326</v>
      </c>
      <c r="S10" s="104">
        <f>+'[23]Cement Block by Month'!H91</f>
        <v>12120</v>
      </c>
      <c r="T10" s="104">
        <f>'[23]Cement Block by Month'!N91</f>
        <v>12810</v>
      </c>
      <c r="U10" s="104">
        <f>'[24]Cement Block by Month'!T91</f>
        <v>360</v>
      </c>
      <c r="V10" s="104">
        <f>'[24]Cement Block by Month'!$Z91</f>
        <v>10170</v>
      </c>
      <c r="W10" s="104">
        <f>+'[25]Cement Block by Month'!$AF$91</f>
        <v>12960</v>
      </c>
      <c r="X10" s="104">
        <f>'[25]Cement Block by Month'!$AL$91</f>
        <v>9210</v>
      </c>
      <c r="Y10" s="104">
        <f>+'[25]Cement Block by Month'!$AR$91</f>
        <v>6750</v>
      </c>
      <c r="Z10" s="104">
        <f>'[25]Cement Block by Month'!AX91</f>
        <v>1540</v>
      </c>
      <c r="AA10" s="105">
        <f>+IF(Y10=0,0,(Z10-Y10)/Y10*100)</f>
        <v>-77.18518518518519</v>
      </c>
    </row>
    <row r="11" spans="2:27" x14ac:dyDescent="0.2">
      <c r="B11" s="64" t="s">
        <v>15</v>
      </c>
      <c r="C11" s="106">
        <v>43350</v>
      </c>
      <c r="D11" s="106">
        <v>28020</v>
      </c>
      <c r="E11" s="106">
        <f>6000+4500</f>
        <v>10500</v>
      </c>
      <c r="F11" s="106">
        <v>2400</v>
      </c>
      <c r="G11" s="106">
        <f>4500+4500+1800</f>
        <v>10800</v>
      </c>
      <c r="H11" s="106">
        <f>+'[26]Cement Blocks imports by month'!$H$7</f>
        <v>22920</v>
      </c>
      <c r="I11" s="107">
        <f>+'[22]Cement Blocks imports by month'!$I7</f>
        <v>23700</v>
      </c>
      <c r="J11" s="107">
        <f>'[23]Cement Blocks imports by month'!$J$7</f>
        <v>105840</v>
      </c>
      <c r="K11" s="107">
        <f>'[23]Cement Block by Month'!R41</f>
        <v>70365</v>
      </c>
      <c r="L11" s="107">
        <f>'[23]Cement Block by Month'!H58</f>
        <v>114105</v>
      </c>
      <c r="M11" s="107">
        <f>'[23]Cement Block by Month'!N58</f>
        <v>95145</v>
      </c>
      <c r="N11" s="107">
        <f>+'[23]Cement Blocks imports by month'!$N$7</f>
        <v>14880</v>
      </c>
      <c r="O11" s="107">
        <f>'[23]Cement Block by Month'!H75</f>
        <v>4335</v>
      </c>
      <c r="P11" s="107">
        <f>'[23]Cement Block by Month'!N75</f>
        <v>5925</v>
      </c>
      <c r="Q11" s="107">
        <f>'[23]Cement Block by Month'!T75</f>
        <v>6375</v>
      </c>
      <c r="R11" s="107">
        <f>'[23]Cement Block by Month'!Z75</f>
        <v>900</v>
      </c>
      <c r="S11" s="107">
        <f>+'[23]Cement Block by Month'!H92</f>
        <v>5790</v>
      </c>
      <c r="T11" s="107">
        <f>'[23]Cement Block by Month'!N92</f>
        <v>11430</v>
      </c>
      <c r="U11" s="107">
        <f>'[24]Cement Block by Month'!T92</f>
        <v>9990</v>
      </c>
      <c r="V11" s="107">
        <f>'[24]Cement Block by Month'!$Z92</f>
        <v>0</v>
      </c>
      <c r="W11" s="107">
        <f>+'[25]Cement Block by Month'!$AF$92</f>
        <v>37560</v>
      </c>
      <c r="X11" s="107">
        <f>'[25]Cement Block by Month'!$AL$92</f>
        <v>17055</v>
      </c>
      <c r="Y11" s="107">
        <f>+'[25]Cement Block by Month'!$AR$92</f>
        <v>18510</v>
      </c>
      <c r="Z11" s="107">
        <f>'[25]Cement Block by Month'!AX92</f>
        <v>21483</v>
      </c>
      <c r="AA11" s="108">
        <f t="shared" ref="AA11:AA21" si="0">+IF(Y11=0,0,(Z11-Y11)/Y11*100)</f>
        <v>16.061588330632091</v>
      </c>
    </row>
    <row r="12" spans="2:27" x14ac:dyDescent="0.2">
      <c r="B12" s="64" t="s">
        <v>16</v>
      </c>
      <c r="C12" s="106">
        <v>54750</v>
      </c>
      <c r="D12" s="106">
        <v>22860</v>
      </c>
      <c r="E12" s="106">
        <v>6000</v>
      </c>
      <c r="F12" s="106">
        <f>18000+3600+6000</f>
        <v>27600</v>
      </c>
      <c r="G12" s="106">
        <f>4800+5040+4800+6300+4500</f>
        <v>25440</v>
      </c>
      <c r="H12" s="106">
        <f>'[21]Cement Blocks imports by month'!H8</f>
        <v>10650</v>
      </c>
      <c r="I12" s="107">
        <f>+'[22]Cement Blocks imports by month'!$I8</f>
        <v>81830</v>
      </c>
      <c r="J12" s="107">
        <f>'[23]Cement Blocks imports by month'!$J$8</f>
        <v>52050</v>
      </c>
      <c r="K12" s="107">
        <f>'[23]Cement Block by Month'!R42</f>
        <v>81255</v>
      </c>
      <c r="L12" s="107">
        <f>'[23]Cement Block by Month'!H59</f>
        <v>60430</v>
      </c>
      <c r="M12" s="107">
        <f>'[23]Cement Block by Month'!N59</f>
        <v>18360</v>
      </c>
      <c r="N12" s="107">
        <f>+'[23]Cement Blocks imports by month'!$N$8</f>
        <v>13700</v>
      </c>
      <c r="O12" s="107">
        <f>'[23]Cement Block by Month'!H76</f>
        <v>4200</v>
      </c>
      <c r="P12" s="107">
        <f>'[23]Cement Block by Month'!N76</f>
        <v>2700</v>
      </c>
      <c r="Q12" s="107">
        <f>'[23]Cement Block by Month'!T76</f>
        <v>3615</v>
      </c>
      <c r="R12" s="107">
        <f>'[23]Cement Block by Month'!Z76</f>
        <v>25340</v>
      </c>
      <c r="S12" s="107">
        <f>+'[23]Cement Block by Month'!H93</f>
        <v>12450</v>
      </c>
      <c r="T12" s="107">
        <f>'[23]Cement Block by Month'!N93</f>
        <v>15450</v>
      </c>
      <c r="U12" s="107">
        <f>'[24]Cement Block by Month'!T93</f>
        <v>8730</v>
      </c>
      <c r="V12" s="107">
        <f>'[24]Cement Block by Month'!$Z93</f>
        <v>23970</v>
      </c>
      <c r="W12" s="107">
        <f>+'[25]Cement Block by Month'!$AF$93</f>
        <v>20240</v>
      </c>
      <c r="X12" s="107">
        <f>'[25]Cement Block by Month'!$AL$93</f>
        <v>6480</v>
      </c>
      <c r="Y12" s="107">
        <f>+'[25]Cement Block by Month'!$AR$93</f>
        <v>18060</v>
      </c>
      <c r="Z12" s="107">
        <f>'[25]Cement Block by Month'!AX93</f>
        <v>27712</v>
      </c>
      <c r="AA12" s="108">
        <f t="shared" si="0"/>
        <v>53.444075304540419</v>
      </c>
    </row>
    <row r="13" spans="2:27" x14ac:dyDescent="0.2">
      <c r="B13" s="64" t="s">
        <v>49</v>
      </c>
      <c r="C13" s="106">
        <v>106030</v>
      </c>
      <c r="D13" s="106">
        <v>12210</v>
      </c>
      <c r="E13" s="106">
        <f>4200+1350+3600+1200</f>
        <v>10350</v>
      </c>
      <c r="F13" s="106">
        <f>2460+1800+4200+1350</f>
        <v>9810</v>
      </c>
      <c r="G13" s="106">
        <f>3000+1200+1320+2280+4500+900+810+4500</f>
        <v>18510</v>
      </c>
      <c r="H13" s="106">
        <f>'[21]Cement Blocks imports by month'!H9</f>
        <v>16820</v>
      </c>
      <c r="I13" s="107">
        <f>+'[22]Cement Blocks imports by month'!$I9</f>
        <v>21300</v>
      </c>
      <c r="J13" s="107">
        <f>'[23]Cement Blocks imports by month'!$J$9</f>
        <v>7800</v>
      </c>
      <c r="K13" s="107">
        <f>'[23]Cement Block by Month'!R43</f>
        <v>111013</v>
      </c>
      <c r="L13" s="107">
        <f>'[23]Cement Block by Month'!H60</f>
        <v>108735</v>
      </c>
      <c r="M13" s="107">
        <f>'[23]Cement Block by Month'!N60</f>
        <v>65515</v>
      </c>
      <c r="N13" s="107">
        <f>+'[23]Cement Blocks imports by month'!$N$9</f>
        <v>8025</v>
      </c>
      <c r="O13" s="107">
        <f>'[23]Cement Block by Month'!H77</f>
        <v>0</v>
      </c>
      <c r="P13" s="107">
        <f>'[23]Cement Block by Month'!N77</f>
        <v>5925</v>
      </c>
      <c r="Q13" s="107">
        <f>'[23]Cement Block by Month'!T77</f>
        <v>7210</v>
      </c>
      <c r="R13" s="107">
        <f>'[23]Cement Block by Month'!Z77</f>
        <v>10020</v>
      </c>
      <c r="S13" s="107">
        <f>+'[23]Cement Block by Month'!H94</f>
        <v>19950</v>
      </c>
      <c r="T13" s="107">
        <f>'[23]Cement Block by Month'!N94</f>
        <v>12300</v>
      </c>
      <c r="U13" s="107">
        <f>'[24]Cement Block by Month'!T94</f>
        <v>21525</v>
      </c>
      <c r="V13" s="107">
        <f>'[24]Cement Block by Month'!$Z94</f>
        <v>34685</v>
      </c>
      <c r="W13" s="107">
        <f>+'[25]Cement Block by Month'!$AF$94</f>
        <v>12000</v>
      </c>
      <c r="X13" s="107">
        <f>'[25]Cement Block by Month'!$AL$94</f>
        <v>14670</v>
      </c>
      <c r="Y13" s="107">
        <f>+'[25]Cement Block by Month'!$AR$94</f>
        <v>2880</v>
      </c>
      <c r="Z13" s="107">
        <f>'[25]Cement Block by Month'!AX94</f>
        <v>42780</v>
      </c>
      <c r="AA13" s="108">
        <f t="shared" si="0"/>
        <v>1385.4166666666665</v>
      </c>
    </row>
    <row r="14" spans="2:27" x14ac:dyDescent="0.2">
      <c r="B14" s="64" t="s">
        <v>19</v>
      </c>
      <c r="C14" s="106">
        <v>110160</v>
      </c>
      <c r="D14" s="106">
        <v>19740</v>
      </c>
      <c r="E14" s="106">
        <f>12000+9000+12000+9000+480+2700+12000+9000+6000+12000+9000</f>
        <v>93180</v>
      </c>
      <c r="F14" s="106">
        <f>12000+18000+600+750+450+3600</f>
        <v>35400</v>
      </c>
      <c r="G14" s="106">
        <f>4500+600+3150</f>
        <v>8250</v>
      </c>
      <c r="H14" s="106">
        <f>'[21]Cement Blocks imports by month'!H10</f>
        <v>31869</v>
      </c>
      <c r="I14" s="107">
        <f>+'[22]Cement Blocks imports by month'!$I10</f>
        <v>14676</v>
      </c>
      <c r="J14" s="107">
        <f>'[23]Cement Blocks imports by month'!$J$10</f>
        <v>12880</v>
      </c>
      <c r="K14" s="107">
        <f>'[23]Cement Block by Month'!R44</f>
        <v>59070</v>
      </c>
      <c r="L14" s="107">
        <f>'[23]Cement Block by Month'!H61</f>
        <v>57915</v>
      </c>
      <c r="M14" s="107">
        <f>'[23]Cement Block by Month'!N61</f>
        <v>40950</v>
      </c>
      <c r="N14" s="107">
        <f>+'[23]Cement Blocks imports by month'!N10</f>
        <v>11850</v>
      </c>
      <c r="O14" s="107">
        <f>'[23]Cement Block by Month'!H78</f>
        <v>12300</v>
      </c>
      <c r="P14" s="107">
        <f>'[23]Cement Block by Month'!N78</f>
        <v>5100</v>
      </c>
      <c r="Q14" s="107">
        <f>'[23]Cement Block by Month'!T78</f>
        <v>1440</v>
      </c>
      <c r="R14" s="107">
        <f>'[23]Cement Block by Month'!Z78</f>
        <v>16105</v>
      </c>
      <c r="S14" s="107">
        <f>+'[23]Cement Block by Month'!H95</f>
        <v>12690</v>
      </c>
      <c r="T14" s="107">
        <f>'[23]Cement Block by Month'!N95</f>
        <v>19965</v>
      </c>
      <c r="U14" s="107">
        <f>'[24]Cement Block by Month'!T95</f>
        <v>9765</v>
      </c>
      <c r="V14" s="107">
        <f>'[25]Cement Block by Month'!$Z$95</f>
        <v>46350</v>
      </c>
      <c r="W14" s="107">
        <f>'[25]Cement Block by Month'!$AF$95</f>
        <v>3000</v>
      </c>
      <c r="X14" s="107">
        <f>'[25]Cement Block by Month'!$AL$95</f>
        <v>8865</v>
      </c>
      <c r="Y14" s="107">
        <f>+'[25]Cement Block by Month'!$AR$95</f>
        <v>4500</v>
      </c>
      <c r="Z14" s="107">
        <f>'[25]Cement Block by Month'!AX95</f>
        <v>33930</v>
      </c>
      <c r="AA14" s="108">
        <f t="shared" si="0"/>
        <v>654</v>
      </c>
    </row>
    <row r="15" spans="2:27" x14ac:dyDescent="0.2">
      <c r="B15" s="64" t="s">
        <v>20</v>
      </c>
      <c r="C15" s="106">
        <v>82890</v>
      </c>
      <c r="D15" s="106">
        <v>0</v>
      </c>
      <c r="E15" s="106">
        <f>3600+900+450+12000</f>
        <v>16950</v>
      </c>
      <c r="F15" s="106">
        <f>9720+240</f>
        <v>9960</v>
      </c>
      <c r="G15" s="106">
        <f>750+4800+3600+6300+4500+1800+8640+720+5220+2340</f>
        <v>38670</v>
      </c>
      <c r="H15" s="106">
        <f>+'[26]Cement Blocks imports by month'!$H$11</f>
        <v>20790</v>
      </c>
      <c r="I15" s="107">
        <f>+'[22]Cement Blocks imports by month'!$I11</f>
        <v>6185</v>
      </c>
      <c r="J15" s="107">
        <f>'[23]Cement Blocks imports by month'!$J$11</f>
        <v>330</v>
      </c>
      <c r="K15" s="107">
        <f>'[23]Cement Block by Month'!R45</f>
        <v>134370</v>
      </c>
      <c r="L15" s="107">
        <f>'[23]Cement Block by Month'!H62</f>
        <v>116620</v>
      </c>
      <c r="M15" s="107">
        <f>'[23]Cement Block by Month'!N62</f>
        <v>30900</v>
      </c>
      <c r="N15" s="107">
        <f>+'[23]Cement Blocks imports by month'!N11</f>
        <v>12900</v>
      </c>
      <c r="O15" s="107">
        <f>'[23]Cement Block by Month'!H79</f>
        <v>0</v>
      </c>
      <c r="P15" s="107">
        <f>'[23]Cement Block by Month'!N79</f>
        <v>8745</v>
      </c>
      <c r="Q15" s="107">
        <f>'[23]Cement Block by Month'!T79</f>
        <v>9630</v>
      </c>
      <c r="R15" s="107">
        <f>'[23]Cement Block by Month'!Z79</f>
        <v>2400</v>
      </c>
      <c r="S15" s="107">
        <f>+'[23]Cement Block by Month'!H96</f>
        <v>9080</v>
      </c>
      <c r="T15" s="107">
        <f>'[23]Cement Block by Month'!N96</f>
        <v>4150</v>
      </c>
      <c r="U15" s="107">
        <f>'[24]Cement Block by Month'!T96</f>
        <v>8280</v>
      </c>
      <c r="V15" s="107">
        <f>'[25]Cement Block by Month'!$Z$96</f>
        <v>7050</v>
      </c>
      <c r="W15" s="107">
        <f>'[25]Cement Block by Month'!$AF$96</f>
        <v>22770</v>
      </c>
      <c r="X15" s="107">
        <f>'[25]Cement Block by Month'!$AL$96</f>
        <v>10050</v>
      </c>
      <c r="Y15" s="107">
        <f>+'[25]Cement Block by Month'!$AR$96</f>
        <v>9180</v>
      </c>
      <c r="Z15" s="107">
        <f>'[25]Cement Block by Month'!AX96</f>
        <v>38032</v>
      </c>
      <c r="AA15" s="108">
        <f t="shared" si="0"/>
        <v>314.29193899782132</v>
      </c>
    </row>
    <row r="16" spans="2:27" x14ac:dyDescent="0.2">
      <c r="B16" s="64" t="s">
        <v>22</v>
      </c>
      <c r="C16" s="106">
        <v>120630</v>
      </c>
      <c r="D16" s="106">
        <v>16680</v>
      </c>
      <c r="E16" s="106">
        <v>0</v>
      </c>
      <c r="F16" s="106">
        <f>27000+4800</f>
        <v>31800</v>
      </c>
      <c r="G16" s="106">
        <f>5280+4440+5400</f>
        <v>15120</v>
      </c>
      <c r="H16" s="106">
        <f>+'[26]Cement Blocks imports by month'!$H$12</f>
        <v>22845</v>
      </c>
      <c r="I16" s="107">
        <f>+'[22]Cement Blocks imports by month'!$I12</f>
        <v>13260</v>
      </c>
      <c r="J16" s="107">
        <f>+'[23]Cement Block by Month'!$L$46</f>
        <v>15780</v>
      </c>
      <c r="K16" s="107">
        <f>'[23]Cement Block by Month'!R46</f>
        <v>111870</v>
      </c>
      <c r="L16" s="107">
        <f>'[23]Cement Block by Month'!H63</f>
        <v>157785</v>
      </c>
      <c r="M16" s="107">
        <f>'[23]Cement Block by Month'!N63</f>
        <v>17175</v>
      </c>
      <c r="N16" s="107">
        <f>+'[23]Cement Blocks imports by month'!N12</f>
        <v>6300</v>
      </c>
      <c r="O16" s="107">
        <f>'[23]Cement Block by Month'!H80</f>
        <v>4800</v>
      </c>
      <c r="P16" s="107">
        <f>'[23]Cement Block by Month'!N80</f>
        <v>5100</v>
      </c>
      <c r="Q16" s="107">
        <f>'[23]Cement Block by Month'!T80</f>
        <v>10450</v>
      </c>
      <c r="R16" s="107">
        <f>'[23]Cement Block by Month'!Z80</f>
        <v>8145</v>
      </c>
      <c r="S16" s="107">
        <f>+'[23]Cement Block by Month'!H97</f>
        <v>18480</v>
      </c>
      <c r="T16" s="107">
        <f>'[23]Cement Block by Month'!N97</f>
        <v>22140</v>
      </c>
      <c r="U16" s="107">
        <f>'[24]Cement Block by Month'!T97</f>
        <v>0</v>
      </c>
      <c r="V16" s="107">
        <f>'[25]Cement Block by Month'!$Z$97</f>
        <v>30840</v>
      </c>
      <c r="W16" s="107">
        <f>'[25]Cement Block by Month'!$AF$97</f>
        <v>2100</v>
      </c>
      <c r="X16" s="107">
        <f>'[25]Cement Block by Month'!$AL$97</f>
        <v>22015</v>
      </c>
      <c r="Y16" s="107">
        <f>+'[25]Cement Block by Month'!$AR$97</f>
        <v>0</v>
      </c>
      <c r="Z16" s="107">
        <f>'[25]Cement Block by Month'!AX97</f>
        <v>34830</v>
      </c>
      <c r="AA16" s="108">
        <f t="shared" si="0"/>
        <v>0</v>
      </c>
    </row>
    <row r="17" spans="1:27" x14ac:dyDescent="0.2">
      <c r="B17" s="64" t="s">
        <v>23</v>
      </c>
      <c r="C17" s="106">
        <v>39945</v>
      </c>
      <c r="D17" s="106">
        <v>11700</v>
      </c>
      <c r="E17" s="106">
        <v>0</v>
      </c>
      <c r="F17" s="106">
        <f>1200+7920</f>
        <v>9120</v>
      </c>
      <c r="G17" s="106">
        <f>1200+150+2430+2280+5670+2250+1980+120+4800+4500</f>
        <v>25380</v>
      </c>
      <c r="H17" s="106">
        <f>+'[26]Cement Blocks imports by month'!$H$13</f>
        <v>26910</v>
      </c>
      <c r="I17" s="107">
        <f>+'[22]Cement Blocks imports by month'!$I13</f>
        <v>9900</v>
      </c>
      <c r="J17" s="107">
        <f>'[23]Cement Blocks imports by month'!$J$13</f>
        <v>7950</v>
      </c>
      <c r="K17" s="107">
        <f>'[23]Cement Block by Month'!R47</f>
        <v>100263</v>
      </c>
      <c r="L17" s="107">
        <f>'[23]Cement Block by Month'!H64</f>
        <v>65655</v>
      </c>
      <c r="M17" s="107">
        <f>'[23]Cement Block by Month'!N64</f>
        <v>10350</v>
      </c>
      <c r="N17" s="107">
        <f>+'[23]Cement Blocks imports by month'!N13</f>
        <v>2625</v>
      </c>
      <c r="O17" s="107">
        <f>'[23]Cement Block by Month'!H81</f>
        <v>4200</v>
      </c>
      <c r="P17" s="107">
        <f>'[23]Cement Block by Month'!N81</f>
        <v>5355</v>
      </c>
      <c r="Q17" s="107">
        <f>'[23]Cement Block by Month'!T81</f>
        <v>3600</v>
      </c>
      <c r="R17" s="107">
        <f>'[23]Cement Block by Month'!Z81</f>
        <v>10330</v>
      </c>
      <c r="S17" s="107">
        <f>+'[23]Cement Block by Month'!H98</f>
        <v>3150</v>
      </c>
      <c r="T17" s="107">
        <f>'[23]Cement Block by Month'!N98</f>
        <v>0</v>
      </c>
      <c r="U17" s="107">
        <f>'[24]Cement Block by Month'!T98</f>
        <v>20025</v>
      </c>
      <c r="V17" s="107">
        <f>'[25]Cement Block by Month'!$Z$98</f>
        <v>0</v>
      </c>
      <c r="W17" s="107">
        <f>'[25]Cement Block by Month'!$AF$98</f>
        <v>800</v>
      </c>
      <c r="X17" s="107">
        <f>'[25]Cement Block by Month'!$AL$98</f>
        <v>7890</v>
      </c>
      <c r="Y17" s="107">
        <f>+'[25]Cement Block by Month'!$AR$98</f>
        <v>11250</v>
      </c>
      <c r="Z17" s="107">
        <f>'[25]Cement Block by Month'!AX98</f>
        <v>40751</v>
      </c>
      <c r="AA17" s="108">
        <f t="shared" si="0"/>
        <v>262.23111111111115</v>
      </c>
    </row>
    <row r="18" spans="1:27" x14ac:dyDescent="0.2">
      <c r="B18" s="64" t="s">
        <v>36</v>
      </c>
      <c r="C18" s="106">
        <v>64800</v>
      </c>
      <c r="D18" s="106">
        <v>6900</v>
      </c>
      <c r="E18" s="106">
        <f>2880+2160+1350</f>
        <v>6390</v>
      </c>
      <c r="F18" s="106">
        <f>2400+12780+1800</f>
        <v>16980</v>
      </c>
      <c r="G18" s="106">
        <f>4800+1260+240+1800</f>
        <v>8100</v>
      </c>
      <c r="H18" s="106">
        <f>+'[26]Cement Blocks imports by month'!$H$14</f>
        <v>15690</v>
      </c>
      <c r="I18" s="107">
        <f>+'[22]Cement Blocks imports by month'!$I14</f>
        <v>9000</v>
      </c>
      <c r="J18" s="106">
        <f>'[23]Cement Blocks imports by month'!$J$14</f>
        <v>64730</v>
      </c>
      <c r="K18" s="107">
        <f>'[23]Cement Block by Month'!R48</f>
        <v>74500</v>
      </c>
      <c r="L18" s="107">
        <f>'[23]Cement Block by Month'!H65</f>
        <v>58470</v>
      </c>
      <c r="M18" s="107">
        <f>'[23]Cement Block by Month'!N65</f>
        <v>21150</v>
      </c>
      <c r="N18" s="107">
        <f>+'[23]Cement Blocks imports by month'!N14</f>
        <v>4425</v>
      </c>
      <c r="O18" s="107">
        <f>'[23]Cement Block by Month'!H82</f>
        <v>3975</v>
      </c>
      <c r="P18" s="107">
        <f>'[23]Cement Block by Month'!N82</f>
        <v>2160</v>
      </c>
      <c r="Q18" s="107">
        <f>'[23]Cement Block by Month'!T82</f>
        <v>9400</v>
      </c>
      <c r="R18" s="107">
        <f>'[23]Cement Block by Month'!Z82</f>
        <v>10770</v>
      </c>
      <c r="S18" s="107">
        <f>+'[23]Cement Block by Month'!H99</f>
        <v>25230</v>
      </c>
      <c r="T18" s="107">
        <f>'[23]Cement Block by Month'!N99</f>
        <v>0</v>
      </c>
      <c r="U18" s="107">
        <f>'[24]Cement Block by Month'!T99</f>
        <v>0</v>
      </c>
      <c r="V18" s="107">
        <f>'[25]Cement Block by Month'!$Z$99</f>
        <v>15870</v>
      </c>
      <c r="W18" s="107">
        <f>'[25]Cement Block by Month'!$AF$99</f>
        <v>0</v>
      </c>
      <c r="X18" s="107">
        <f>'[25]Cement Block by Month'!$AL$99</f>
        <v>17925</v>
      </c>
      <c r="Y18" s="107">
        <f>+'[25]Cement Block by Month'!$AR$99</f>
        <v>10980</v>
      </c>
      <c r="Z18" s="107">
        <f>'[25]Cement Block by Month'!AX99</f>
        <v>17400</v>
      </c>
      <c r="AA18" s="108">
        <f t="shared" si="0"/>
        <v>58.469945355191257</v>
      </c>
    </row>
    <row r="19" spans="1:27" x14ac:dyDescent="0.2">
      <c r="B19" s="64" t="s">
        <v>25</v>
      </c>
      <c r="C19" s="106">
        <v>12300</v>
      </c>
      <c r="D19" s="106">
        <v>26790</v>
      </c>
      <c r="E19" s="106">
        <f>840+6000+2250+1920+1710+3600+1800</f>
        <v>18120</v>
      </c>
      <c r="F19" s="106">
        <f>1440+4800</f>
        <v>6240</v>
      </c>
      <c r="G19" s="106">
        <f>1800+1800+1800+900+1080+5760+600+3600+1200+600+4500+9000+2430+2700+900+1800+1080+900+1260+4500</f>
        <v>48210</v>
      </c>
      <c r="H19" s="106">
        <f>+'[22]Cement Blocks imports by month'!$H$15</f>
        <v>40695</v>
      </c>
      <c r="I19" s="107">
        <f>+'[22]Cement Blocks imports by month'!$I15</f>
        <v>8460</v>
      </c>
      <c r="J19" s="106">
        <f>'[23]Cement Blocks imports by month'!$J$15</f>
        <v>95240</v>
      </c>
      <c r="K19" s="107">
        <f>'[23]Cement Block by Month'!R49</f>
        <v>52890</v>
      </c>
      <c r="L19" s="107">
        <f>'[23]Cement Block by Month'!H66</f>
        <v>194640</v>
      </c>
      <c r="M19" s="107">
        <f>'[23]Cement Block by Month'!N66</f>
        <v>15900</v>
      </c>
      <c r="N19" s="107">
        <f>+'[23]Cement Blocks imports by month'!N15</f>
        <v>0</v>
      </c>
      <c r="O19" s="107">
        <f>'[23]Cement Block by Month'!H83</f>
        <v>7200</v>
      </c>
      <c r="P19" s="107">
        <f>'[23]Cement Block by Month'!N83</f>
        <v>14100</v>
      </c>
      <c r="Q19" s="107">
        <f>'[23]Cement Block by Month'!T83</f>
        <v>11790</v>
      </c>
      <c r="R19" s="107">
        <f>'[23]Cement Block by Month'!Z83</f>
        <v>8310</v>
      </c>
      <c r="S19" s="107">
        <f>+'[23]Cement Block by Month'!H100</f>
        <v>9600</v>
      </c>
      <c r="T19" s="107">
        <f>'[23]Cement Block by Month'!N100</f>
        <v>10990</v>
      </c>
      <c r="U19" s="107">
        <f>'[24]Cement Block by Month'!T100</f>
        <v>12990</v>
      </c>
      <c r="V19" s="107">
        <f>'[25]Cement Block by Month'!$Z$100</f>
        <v>3600</v>
      </c>
      <c r="W19" s="107">
        <f>'[25]Cement Block by Month'!$AF$100</f>
        <v>75270</v>
      </c>
      <c r="X19" s="107">
        <f>'[25]Cement Block by Month'!$AL$100</f>
        <v>18585</v>
      </c>
      <c r="Y19" s="107">
        <f>+'[25]Cement Block by Month'!$AR$100</f>
        <v>27910</v>
      </c>
      <c r="Z19" s="107">
        <f>'[25]Cement Block by Month'!AX100</f>
        <v>20461</v>
      </c>
      <c r="AA19" s="108">
        <f t="shared" si="0"/>
        <v>-26.689358652812611</v>
      </c>
    </row>
    <row r="20" spans="1:27" x14ac:dyDescent="0.2">
      <c r="B20" s="64" t="s">
        <v>26</v>
      </c>
      <c r="C20" s="106">
        <v>24300</v>
      </c>
      <c r="D20" s="106">
        <v>0</v>
      </c>
      <c r="E20" s="106">
        <v>2880</v>
      </c>
      <c r="F20" s="106">
        <f>4800+4500</f>
        <v>9300</v>
      </c>
      <c r="G20" s="106">
        <v>8250</v>
      </c>
      <c r="H20" s="106">
        <f>+'[22]Cement Blocks imports by month'!$H$16</f>
        <v>13695</v>
      </c>
      <c r="I20" s="107">
        <f>+'[22]Cement Blocks imports by month'!$I$16</f>
        <v>12287</v>
      </c>
      <c r="J20" s="106">
        <f>'[23]Cement Blocks imports by month'!$J$16</f>
        <v>62380</v>
      </c>
      <c r="K20" s="107">
        <f>'[23]Cement Block by Month'!R50</f>
        <v>257183</v>
      </c>
      <c r="L20" s="107">
        <f>'[23]Cement Block by Month'!H67</f>
        <v>83790</v>
      </c>
      <c r="M20" s="107">
        <f>'[23]Cement Block by Month'!N67</f>
        <v>5925</v>
      </c>
      <c r="N20" s="107">
        <f>+'[23]Cement Blocks imports by month'!N16</f>
        <v>14700</v>
      </c>
      <c r="O20" s="107">
        <f>'[23]Cement Block by Month'!H84</f>
        <v>7350</v>
      </c>
      <c r="P20" s="107">
        <f>'[23]Cement Block by Month'!N84</f>
        <v>0</v>
      </c>
      <c r="Q20" s="107">
        <f>'[23]Cement Block by Month'!T84</f>
        <v>6345</v>
      </c>
      <c r="R20" s="107">
        <f>'[23]Cement Block by Month'!Z84</f>
        <v>7440</v>
      </c>
      <c r="S20" s="107">
        <f>+'[23]Cement Block by Month'!H101</f>
        <v>29220</v>
      </c>
      <c r="T20" s="107">
        <f>'[23]Cement Block by Month'!N101</f>
        <v>9810</v>
      </c>
      <c r="U20" s="107">
        <f>'[24]Cement Block by Month'!T101</f>
        <v>5520</v>
      </c>
      <c r="V20" s="107">
        <f>'[25]Cement Block by Month'!$Z$101</f>
        <v>14720</v>
      </c>
      <c r="W20" s="107">
        <f>'[25]Cement Block by Month'!$AF$101</f>
        <v>8790</v>
      </c>
      <c r="X20" s="107">
        <f>'[25]Cement Block by Month'!$AL$101</f>
        <v>25320</v>
      </c>
      <c r="Y20" s="107">
        <f>+'[25]Cement Block by Month'!$AR$101</f>
        <v>11210</v>
      </c>
      <c r="Z20" s="107">
        <f>'[25]Cement Block by Month'!AX101</f>
        <v>25560</v>
      </c>
      <c r="AA20" s="108">
        <f t="shared" si="0"/>
        <v>128.01070472792151</v>
      </c>
    </row>
    <row r="21" spans="1:27" x14ac:dyDescent="0.2">
      <c r="B21" s="64" t="s">
        <v>27</v>
      </c>
      <c r="C21" s="106">
        <v>0</v>
      </c>
      <c r="D21" s="106">
        <v>12090</v>
      </c>
      <c r="E21" s="106">
        <f>4200+2700</f>
        <v>6900</v>
      </c>
      <c r="F21" s="106">
        <v>0</v>
      </c>
      <c r="G21" s="106">
        <f>4800+600+5400+5220+1350+450</f>
        <v>17820</v>
      </c>
      <c r="H21" s="106">
        <f>+'[22]Cement Blocks imports by month'!$H$17</f>
        <v>17910</v>
      </c>
      <c r="I21" s="107">
        <f>+'[22]Cement Blocks imports by month'!$I$17</f>
        <v>30930</v>
      </c>
      <c r="J21" s="106">
        <f>'[23]Cement Blocks imports by month'!$J$17</f>
        <v>86100</v>
      </c>
      <c r="K21" s="107">
        <f>'[23]Cement Block by Month'!R51</f>
        <v>71530</v>
      </c>
      <c r="L21" s="107">
        <f>'[23]Cement Block by Month'!H68</f>
        <v>26910</v>
      </c>
      <c r="M21" s="107">
        <f>'[23]Cement Block by Month'!N68</f>
        <v>4050</v>
      </c>
      <c r="N21" s="107">
        <f>+'[23]Cement Block by Month'!$T$68</f>
        <v>11400</v>
      </c>
      <c r="O21" s="107">
        <f>'[23]Cement Block by Month'!H85</f>
        <v>9900</v>
      </c>
      <c r="P21" s="107">
        <f>'[23]Cement Block by Month'!N85</f>
        <v>3000</v>
      </c>
      <c r="Q21" s="107">
        <f>'[23]Cement Block by Month'!T85</f>
        <v>9700</v>
      </c>
      <c r="R21" s="107">
        <f>'[23]Cement Block by Month'!Z85</f>
        <v>10830</v>
      </c>
      <c r="S21" s="107">
        <f>+'[23]Cement Block by Month'!H102</f>
        <v>5050</v>
      </c>
      <c r="T21" s="107">
        <f>'[23]Cement Block by Month'!N102</f>
        <v>4320</v>
      </c>
      <c r="U21" s="107">
        <f>'[24]Cement Block by Month'!T102</f>
        <v>18570</v>
      </c>
      <c r="V21" s="107">
        <f>'[25]Cement Block by Month'!$Z$102</f>
        <v>26880</v>
      </c>
      <c r="W21" s="107">
        <f>'[25]Cement Block by Month'!$AF$102</f>
        <v>19065</v>
      </c>
      <c r="X21" s="107">
        <f>'[25]Cement Block by Month'!$AL$102</f>
        <v>9720</v>
      </c>
      <c r="Y21" s="107">
        <f>+'[25]Cement Block by Month'!$AR$102</f>
        <v>15540</v>
      </c>
      <c r="Z21" s="107">
        <f>'[25]Cement Block by Month'!AX102</f>
        <v>0</v>
      </c>
      <c r="AA21" s="108">
        <f t="shared" si="0"/>
        <v>-100</v>
      </c>
    </row>
    <row r="22" spans="1:27" x14ac:dyDescent="0.2">
      <c r="B22" s="51" t="s">
        <v>35</v>
      </c>
      <c r="C22" s="109">
        <f t="shared" ref="C22:J22" si="1">SUM(C10:C21)</f>
        <v>676825</v>
      </c>
      <c r="D22" s="109">
        <f t="shared" si="1"/>
        <v>173250</v>
      </c>
      <c r="E22" s="110">
        <f t="shared" si="1"/>
        <v>173070</v>
      </c>
      <c r="F22" s="110">
        <f t="shared" si="1"/>
        <v>162354</v>
      </c>
      <c r="G22" s="110">
        <f t="shared" si="1"/>
        <v>224550</v>
      </c>
      <c r="H22" s="110">
        <f t="shared" si="1"/>
        <v>250874</v>
      </c>
      <c r="I22" s="110">
        <f t="shared" si="1"/>
        <v>248778</v>
      </c>
      <c r="J22" s="110">
        <f t="shared" si="1"/>
        <v>520260</v>
      </c>
      <c r="K22" s="110">
        <f t="shared" ref="K22:R22" si="2">SUM(K10:K21)</f>
        <v>1191183</v>
      </c>
      <c r="L22" s="110">
        <f t="shared" si="2"/>
        <v>1130615</v>
      </c>
      <c r="M22" s="110">
        <f t="shared" si="2"/>
        <v>374615</v>
      </c>
      <c r="N22" s="110">
        <f t="shared" si="2"/>
        <v>110780</v>
      </c>
      <c r="O22" s="110">
        <f t="shared" si="2"/>
        <v>70860</v>
      </c>
      <c r="P22" s="110">
        <f t="shared" si="2"/>
        <v>64410</v>
      </c>
      <c r="Q22" s="110">
        <f t="shared" si="2"/>
        <v>79555</v>
      </c>
      <c r="R22" s="110">
        <f t="shared" si="2"/>
        <v>114916</v>
      </c>
      <c r="S22" s="110">
        <f t="shared" ref="S22:Y22" si="3">SUM(S10:S21)</f>
        <v>162810</v>
      </c>
      <c r="T22" s="110">
        <f t="shared" si="3"/>
        <v>123365</v>
      </c>
      <c r="U22" s="110">
        <f t="shared" si="3"/>
        <v>115755</v>
      </c>
      <c r="V22" s="110">
        <f t="shared" si="3"/>
        <v>214135</v>
      </c>
      <c r="W22" s="110">
        <f t="shared" si="3"/>
        <v>214555</v>
      </c>
      <c r="X22" s="110">
        <f t="shared" si="3"/>
        <v>167785</v>
      </c>
      <c r="Y22" s="110">
        <f t="shared" si="3"/>
        <v>136770</v>
      </c>
      <c r="Z22" s="110">
        <f t="shared" ref="Z22" si="4">SUM(Z10:Z21)</f>
        <v>304479</v>
      </c>
      <c r="AA22" s="111"/>
    </row>
    <row r="23" spans="1:27" ht="13.5" thickBot="1" x14ac:dyDescent="0.25">
      <c r="B23" s="117" t="s">
        <v>4</v>
      </c>
      <c r="C23" s="112"/>
      <c r="D23" s="113">
        <f>IF(C22=0,0,(D22-C22)/C22*100)</f>
        <v>-74.402541277287341</v>
      </c>
      <c r="E23" s="113">
        <f t="shared" ref="E23:T23" si="5">IF(D22=0,0,(E22-D22)/D22*100)</f>
        <v>-0.1038961038961039</v>
      </c>
      <c r="F23" s="113">
        <f t="shared" si="5"/>
        <v>-6.1917143352400759</v>
      </c>
      <c r="G23" s="113">
        <f t="shared" si="5"/>
        <v>38.308880594256998</v>
      </c>
      <c r="H23" s="113">
        <f t="shared" si="5"/>
        <v>11.723001558672902</v>
      </c>
      <c r="I23" s="113">
        <f>IF(H22=0,0,(I22-H22)/H22*100)</f>
        <v>-0.83547916483972029</v>
      </c>
      <c r="J23" s="113">
        <f t="shared" si="5"/>
        <v>109.12620890914792</v>
      </c>
      <c r="K23" s="113">
        <f t="shared" si="5"/>
        <v>128.95917425902434</v>
      </c>
      <c r="L23" s="113">
        <f t="shared" si="5"/>
        <v>-5.0846931160031668</v>
      </c>
      <c r="M23" s="113">
        <f t="shared" si="5"/>
        <v>-66.866263051525053</v>
      </c>
      <c r="N23" s="113">
        <f t="shared" si="5"/>
        <v>-70.428306394565084</v>
      </c>
      <c r="O23" s="113">
        <f t="shared" si="5"/>
        <v>-36.035385448636937</v>
      </c>
      <c r="P23" s="113">
        <f t="shared" si="5"/>
        <v>-9.1024555461473327</v>
      </c>
      <c r="Q23" s="113">
        <f t="shared" si="5"/>
        <v>23.51342959167831</v>
      </c>
      <c r="R23" s="113">
        <f t="shared" si="5"/>
        <v>44.448494752058323</v>
      </c>
      <c r="S23" s="113">
        <f t="shared" si="5"/>
        <v>41.677399143722369</v>
      </c>
      <c r="T23" s="113">
        <f t="shared" si="5"/>
        <v>-24.227627295620664</v>
      </c>
      <c r="U23" s="113">
        <f t="shared" ref="U23:Z23" si="6">IF(T22=0,0,(U22-T22)/T22*100)</f>
        <v>-6.1686864183520447</v>
      </c>
      <c r="V23" s="113">
        <f t="shared" si="6"/>
        <v>84.98984925057232</v>
      </c>
      <c r="W23" s="113">
        <f t="shared" si="6"/>
        <v>0.19613795035841874</v>
      </c>
      <c r="X23" s="113">
        <f t="shared" si="6"/>
        <v>-21.798606417934796</v>
      </c>
      <c r="Y23" s="113">
        <f t="shared" si="6"/>
        <v>-18.484965878952231</v>
      </c>
      <c r="Z23" s="113">
        <f t="shared" si="6"/>
        <v>122.62118885720552</v>
      </c>
      <c r="AA23" s="112"/>
    </row>
    <row r="25" spans="1:27" s="23" customFormat="1" x14ac:dyDescent="0.2">
      <c r="A25" s="62"/>
      <c r="B25" s="36" t="s">
        <v>50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1:27" s="23" customFormat="1" ht="15.75" x14ac:dyDescent="0.25">
      <c r="B26" s="38"/>
      <c r="C26" s="38"/>
      <c r="D26" s="38"/>
      <c r="E26" s="38"/>
      <c r="F26" s="38"/>
      <c r="G26" s="38"/>
      <c r="H26" s="2"/>
      <c r="I26" s="2"/>
      <c r="J26" s="2"/>
    </row>
    <row r="27" spans="1:27" s="23" customFormat="1" x14ac:dyDescent="0.2">
      <c r="A27" s="62"/>
      <c r="B27" s="36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</sheetData>
  <pageMargins left="0.75" right="0.75" top="1" bottom="1" header="0.5" footer="0.5"/>
  <pageSetup paperSize="9" scale="8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22"/>
  <sheetViews>
    <sheetView workbookViewId="0">
      <selection activeCell="C14" sqref="C14"/>
    </sheetView>
  </sheetViews>
  <sheetFormatPr defaultRowHeight="12.75" x14ac:dyDescent="0.2"/>
  <cols>
    <col min="1" max="1" width="1.140625" customWidth="1"/>
    <col min="2" max="2" width="1.85546875" customWidth="1"/>
    <col min="3" max="3" width="9.85546875" customWidth="1"/>
  </cols>
  <sheetData>
    <row r="2" spans="2:9" x14ac:dyDescent="0.2">
      <c r="B2" s="164" t="str">
        <f ca="1">MID(CELL("filename",A1),FIND("]",CELL("filename",A1))+1,255)</f>
        <v>Data notes</v>
      </c>
    </row>
    <row r="3" spans="2:9" ht="15" x14ac:dyDescent="0.25">
      <c r="B3" s="155"/>
    </row>
    <row r="4" spans="2:9" s="23" customFormat="1" x14ac:dyDescent="0.2">
      <c r="C4" s="166" t="s">
        <v>6</v>
      </c>
    </row>
    <row r="5" spans="2:9" s="23" customFormat="1" x14ac:dyDescent="0.2">
      <c r="C5" s="173" t="s">
        <v>116</v>
      </c>
    </row>
    <row r="6" spans="2:9" s="23" customFormat="1" x14ac:dyDescent="0.2"/>
    <row r="7" spans="2:9" s="23" customFormat="1" x14ac:dyDescent="0.2">
      <c r="C7" s="165" t="s">
        <v>117</v>
      </c>
    </row>
    <row r="8" spans="2:9" s="23" customFormat="1" x14ac:dyDescent="0.2">
      <c r="C8" s="170" t="s">
        <v>106</v>
      </c>
      <c r="D8"/>
      <c r="E8"/>
      <c r="F8"/>
      <c r="G8"/>
      <c r="H8"/>
      <c r="I8"/>
    </row>
    <row r="9" spans="2:9" ht="15" x14ac:dyDescent="0.25">
      <c r="B9" s="155"/>
      <c r="C9" s="174" t="s">
        <v>119</v>
      </c>
    </row>
    <row r="10" spans="2:9" ht="15" x14ac:dyDescent="0.25">
      <c r="B10" s="155"/>
    </row>
    <row r="11" spans="2:9" x14ac:dyDescent="0.2">
      <c r="C11" s="122" t="s">
        <v>94</v>
      </c>
      <c r="D11" s="32"/>
      <c r="E11" s="157"/>
    </row>
    <row r="12" spans="2:9" x14ac:dyDescent="0.2">
      <c r="C12" s="32" t="s">
        <v>76</v>
      </c>
      <c r="D12" s="32"/>
      <c r="E12" s="157"/>
    </row>
    <row r="13" spans="2:9" x14ac:dyDescent="0.2">
      <c r="C13" s="159">
        <v>0</v>
      </c>
      <c r="D13" s="32" t="s">
        <v>77</v>
      </c>
      <c r="E13" s="157"/>
    </row>
    <row r="14" spans="2:9" x14ac:dyDescent="0.2">
      <c r="C14" s="159" t="s">
        <v>78</v>
      </c>
      <c r="D14" s="32" t="s">
        <v>79</v>
      </c>
      <c r="E14" s="157"/>
    </row>
    <row r="15" spans="2:9" x14ac:dyDescent="0.2">
      <c r="C15" s="159" t="s">
        <v>80</v>
      </c>
      <c r="D15" s="32" t="s">
        <v>81</v>
      </c>
      <c r="E15" s="157"/>
    </row>
    <row r="16" spans="2:9" x14ac:dyDescent="0.2">
      <c r="C16" s="159" t="s">
        <v>95</v>
      </c>
      <c r="D16" s="32" t="s">
        <v>96</v>
      </c>
      <c r="E16" s="157"/>
    </row>
    <row r="17" spans="3:5" x14ac:dyDescent="0.2">
      <c r="C17" s="159" t="s">
        <v>82</v>
      </c>
      <c r="D17" s="32" t="s">
        <v>83</v>
      </c>
      <c r="E17" s="157"/>
    </row>
    <row r="18" spans="3:5" x14ac:dyDescent="0.2">
      <c r="C18" s="160" t="s">
        <v>97</v>
      </c>
      <c r="D18" s="32" t="s">
        <v>98</v>
      </c>
      <c r="E18" s="157"/>
    </row>
    <row r="19" spans="3:5" x14ac:dyDescent="0.2">
      <c r="C19" s="159" t="s">
        <v>84</v>
      </c>
      <c r="D19" s="32" t="s">
        <v>85</v>
      </c>
      <c r="E19" s="157"/>
    </row>
    <row r="20" spans="3:5" x14ac:dyDescent="0.2">
      <c r="C20" s="159" t="s">
        <v>86</v>
      </c>
      <c r="D20" s="32" t="s">
        <v>87</v>
      </c>
      <c r="E20" s="157"/>
    </row>
    <row r="21" spans="3:5" x14ac:dyDescent="0.2">
      <c r="C21" s="159" t="s">
        <v>88</v>
      </c>
      <c r="D21" s="32" t="s">
        <v>89</v>
      </c>
    </row>
    <row r="22" spans="3:5" x14ac:dyDescent="0.2">
      <c r="C22" s="159" t="s">
        <v>90</v>
      </c>
      <c r="D22" s="32" t="s">
        <v>91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D26"/>
  <sheetViews>
    <sheetView zoomScaleNormal="100" workbookViewId="0">
      <pane xSplit="2" ySplit="9" topLeftCell="P10" activePane="bottomRight" state="frozen"/>
      <selection pane="topRight" activeCell="C1" sqref="C1"/>
      <selection pane="bottomLeft" activeCell="A10" sqref="A10"/>
      <selection pane="bottomRight" activeCell="AB26" sqref="AB26"/>
    </sheetView>
  </sheetViews>
  <sheetFormatPr defaultRowHeight="12.75" x14ac:dyDescent="0.2"/>
  <cols>
    <col min="1" max="1" width="1.140625" customWidth="1"/>
    <col min="2" max="2" width="38.28515625" customWidth="1"/>
    <col min="3" max="9" width="7.85546875" customWidth="1"/>
    <col min="10" max="10" width="7.85546875" style="2" customWidth="1"/>
    <col min="11" max="25" width="7.85546875" customWidth="1"/>
    <col min="26" max="26" width="7.7109375" customWidth="1"/>
  </cols>
  <sheetData>
    <row r="2" spans="2:30" s="23" customFormat="1" x14ac:dyDescent="0.2">
      <c r="B2" s="24" t="str">
        <f ca="1">MID(CELL("filename",A1),FIND("]",CELL("filename",A1))+1,255)</f>
        <v>Table 2.4.3-B1</v>
      </c>
    </row>
    <row r="3" spans="2:30" s="23" customFormat="1" x14ac:dyDescent="0.2"/>
    <row r="4" spans="2:30" s="23" customFormat="1" x14ac:dyDescent="0.2">
      <c r="B4" s="1" t="s">
        <v>6</v>
      </c>
    </row>
    <row r="5" spans="2:30" s="23" customFormat="1" x14ac:dyDescent="0.2">
      <c r="B5" s="1" t="s">
        <v>12</v>
      </c>
    </row>
    <row r="6" spans="2:30" s="23" customFormat="1" x14ac:dyDescent="0.2">
      <c r="B6" s="1" t="s">
        <v>110</v>
      </c>
    </row>
    <row r="7" spans="2:30" s="23" customFormat="1" x14ac:dyDescent="0.2">
      <c r="B7" s="1" t="s">
        <v>66</v>
      </c>
    </row>
    <row r="8" spans="2:30" x14ac:dyDescent="0.2">
      <c r="B8" s="1"/>
      <c r="C8" s="1"/>
      <c r="Z8" s="23"/>
      <c r="AA8" s="23"/>
    </row>
    <row r="9" spans="2:30" s="32" customFormat="1" ht="12" x14ac:dyDescent="0.2">
      <c r="B9" s="30"/>
      <c r="C9" s="31">
        <v>1995</v>
      </c>
      <c r="D9" s="31">
        <v>1996</v>
      </c>
      <c r="E9" s="31">
        <v>1997</v>
      </c>
      <c r="F9" s="31">
        <v>1998</v>
      </c>
      <c r="G9" s="31" t="s">
        <v>0</v>
      </c>
      <c r="H9" s="31">
        <v>2000</v>
      </c>
      <c r="I9" s="31">
        <v>2001</v>
      </c>
      <c r="J9" s="31">
        <v>2002</v>
      </c>
      <c r="K9" s="31">
        <v>2003</v>
      </c>
      <c r="L9" s="31">
        <v>2004</v>
      </c>
      <c r="M9" s="31">
        <v>2005</v>
      </c>
      <c r="N9" s="31">
        <v>2006</v>
      </c>
      <c r="O9" s="31">
        <v>2007</v>
      </c>
      <c r="P9" s="31">
        <v>2008</v>
      </c>
      <c r="Q9" s="31">
        <v>2009</v>
      </c>
      <c r="R9" s="31">
        <v>2010</v>
      </c>
      <c r="S9" s="31">
        <v>2011</v>
      </c>
      <c r="T9" s="31">
        <v>2012</v>
      </c>
      <c r="U9" s="31">
        <v>2013</v>
      </c>
      <c r="V9" s="31">
        <v>2014</v>
      </c>
      <c r="W9" s="31">
        <v>2015</v>
      </c>
      <c r="X9" s="31">
        <v>2016</v>
      </c>
      <c r="Y9" s="31">
        <v>2017</v>
      </c>
      <c r="Z9" s="31">
        <v>2018</v>
      </c>
      <c r="AA9" s="31">
        <v>2019</v>
      </c>
      <c r="AB9" s="31">
        <v>2020</v>
      </c>
      <c r="AC9" s="31">
        <v>2021</v>
      </c>
      <c r="AD9" s="31">
        <v>2022</v>
      </c>
    </row>
    <row r="10" spans="2:30" x14ac:dyDescent="0.2">
      <c r="B10" s="33" t="s">
        <v>7</v>
      </c>
      <c r="C10" s="29">
        <v>13</v>
      </c>
      <c r="D10" s="29">
        <v>18</v>
      </c>
      <c r="E10" s="29">
        <v>17</v>
      </c>
      <c r="F10" s="29">
        <v>21</v>
      </c>
      <c r="G10" s="29">
        <f>10*2</f>
        <v>20</v>
      </c>
      <c r="H10" s="29">
        <v>18</v>
      </c>
      <c r="I10" s="29">
        <v>12</v>
      </c>
      <c r="J10" s="29">
        <f>+'Table 2.4.3-B2'!$I$29</f>
        <v>23</v>
      </c>
      <c r="K10" s="29">
        <f>+'Table 2.4.3-B2'!$I$48</f>
        <v>21</v>
      </c>
      <c r="L10" s="29">
        <f>+'Table 2.4.3-B3'!$I$29</f>
        <v>11</v>
      </c>
      <c r="M10" s="29">
        <f>+'Table 2.4.3-B3'!$I$48</f>
        <v>23</v>
      </c>
      <c r="N10" s="29">
        <f>+'Table 2.4.3-B4'!$I$29</f>
        <v>20</v>
      </c>
      <c r="O10" s="29">
        <f>+'Table 2.4.3-B4'!$I$48</f>
        <v>19</v>
      </c>
      <c r="P10" s="29">
        <f>+'Table 2.4.3-B5'!$I$29</f>
        <v>7</v>
      </c>
      <c r="Q10" s="29">
        <f>+'Table 2.4.3-B5'!$I$48</f>
        <v>10</v>
      </c>
      <c r="R10" s="29">
        <f>+'Table 2.4.3-B6'!$I$29</f>
        <v>18</v>
      </c>
      <c r="S10" s="29">
        <f>+'Table 2.4.3-B6'!$I$48</f>
        <v>16</v>
      </c>
      <c r="T10" s="29">
        <f>+'Table 2.4.3-B7'!$I$29</f>
        <v>18</v>
      </c>
      <c r="U10" s="29">
        <f>+'Table 2.4.3-B7'!$I$48</f>
        <v>16</v>
      </c>
      <c r="V10" s="29">
        <f>+'Table 2.4.3-B8'!$I$29</f>
        <v>19</v>
      </c>
      <c r="W10" s="29">
        <f>+'Table 2.4.3-B8'!$I$48</f>
        <v>9</v>
      </c>
      <c r="X10" s="29">
        <f>+'Table 2.4.3-B9'!$I$29</f>
        <v>12</v>
      </c>
      <c r="Y10" s="29">
        <f>+[1]Sheet1!K8</f>
        <v>8</v>
      </c>
      <c r="Z10" s="29">
        <f>+[1]Sheet1!L8</f>
        <v>16</v>
      </c>
      <c r="AA10" s="29">
        <f>+'[27]Bldg Permit Charts'!M81</f>
        <v>10</v>
      </c>
      <c r="AB10" s="29">
        <f>+'[27]Bldg Permit Charts'!N81</f>
        <v>10</v>
      </c>
      <c r="AC10" s="29">
        <f>+'[27]Bldg Permit Charts'!O81</f>
        <v>9</v>
      </c>
      <c r="AD10" s="29">
        <f>+'[27]Bldg Permit Charts'!P81</f>
        <v>9</v>
      </c>
    </row>
    <row r="11" spans="2:30" x14ac:dyDescent="0.2">
      <c r="B11" s="34" t="s">
        <v>8</v>
      </c>
      <c r="C11" s="3">
        <v>30</v>
      </c>
      <c r="D11" s="3">
        <v>37</v>
      </c>
      <c r="E11" s="3">
        <v>46</v>
      </c>
      <c r="F11" s="3">
        <v>31</v>
      </c>
      <c r="G11" s="3">
        <f>21*2</f>
        <v>42</v>
      </c>
      <c r="H11" s="3">
        <v>24</v>
      </c>
      <c r="I11" s="3">
        <v>50</v>
      </c>
      <c r="J11" s="3">
        <f>+'Table 2.4.3-B2'!$G$29</f>
        <v>3</v>
      </c>
      <c r="K11" s="3">
        <f>+'Table 2.4.3-B2'!$G$48</f>
        <v>10</v>
      </c>
      <c r="L11" s="3">
        <f>+'Table 2.4.3-B3'!$G$29</f>
        <v>21</v>
      </c>
      <c r="M11" s="3">
        <f>+'Table 2.4.3-B3'!$G$48</f>
        <v>16</v>
      </c>
      <c r="N11" s="3">
        <f>+'Table 2.4.3-B4'!$G$29</f>
        <v>17</v>
      </c>
      <c r="O11" s="3">
        <f>+'Table 2.4.3-B4'!$G$48</f>
        <v>9</v>
      </c>
      <c r="P11" s="3">
        <f>+'Table 2.4.3-B5'!$G$29</f>
        <v>8</v>
      </c>
      <c r="Q11" s="3">
        <f>+'Table 2.4.3-B5'!$G$48</f>
        <v>4</v>
      </c>
      <c r="R11" s="3">
        <f>+'Table 2.4.3-B6'!$G$29</f>
        <v>7</v>
      </c>
      <c r="S11" s="3">
        <f>+'Table 2.4.3-B6'!$G$48</f>
        <v>8</v>
      </c>
      <c r="T11" s="3">
        <f>+'Table 2.4.3-B7'!$G$29</f>
        <v>4</v>
      </c>
      <c r="U11" s="3">
        <f>+'Table 2.4.3-B7'!$G$48</f>
        <v>7</v>
      </c>
      <c r="V11" s="3">
        <f>+'Table 2.4.3-B8'!$G$29</f>
        <v>9</v>
      </c>
      <c r="W11" s="3">
        <f>+'Table 2.4.3-B8'!$G$48</f>
        <v>6</v>
      </c>
      <c r="X11" s="3">
        <f>+'Table 2.4.3-B9'!$G$29</f>
        <v>4</v>
      </c>
      <c r="Y11" s="3">
        <f>+[1]Sheet1!K7</f>
        <v>2</v>
      </c>
      <c r="Z11" s="3">
        <f>+[1]Sheet1!L7</f>
        <v>4</v>
      </c>
      <c r="AA11" s="3">
        <f>+'[27]Bldg Permit Charts'!M80</f>
        <v>1</v>
      </c>
      <c r="AB11" s="3">
        <f>+'[27]Bldg Permit Charts'!N80</f>
        <v>4</v>
      </c>
      <c r="AC11" s="3">
        <f>+'[27]Bldg Permit Charts'!O80</f>
        <v>2</v>
      </c>
      <c r="AD11" s="3">
        <f>+'[27]Bldg Permit Charts'!P80</f>
        <v>4</v>
      </c>
    </row>
    <row r="12" spans="2:30" x14ac:dyDescent="0.2">
      <c r="B12" s="34" t="s">
        <v>9</v>
      </c>
      <c r="C12" s="3">
        <v>103</v>
      </c>
      <c r="D12" s="3">
        <v>112</v>
      </c>
      <c r="E12" s="3">
        <v>152</v>
      </c>
      <c r="F12" s="3">
        <v>157</v>
      </c>
      <c r="G12" s="3">
        <f>2*64</f>
        <v>128</v>
      </c>
      <c r="H12" s="3">
        <v>189</v>
      </c>
      <c r="I12" s="3">
        <v>156</v>
      </c>
      <c r="J12" s="3">
        <f>+'Table 2.4.3-B2'!$C$29+'Table 2.4.3-B2'!$E$29</f>
        <v>190</v>
      </c>
      <c r="K12" s="3">
        <f>+'Table 2.4.3-B2'!$C$48+'Table 2.4.3-B2'!$E$48</f>
        <v>168</v>
      </c>
      <c r="L12" s="3">
        <f>+'Table 2.4.3-B3'!$C$29+'Table 2.4.3-B3'!$E$29</f>
        <v>167</v>
      </c>
      <c r="M12" s="3">
        <f>+'Table 2.4.3-B3'!$C$48+'Table 2.4.3-B3'!$E$48</f>
        <v>216</v>
      </c>
      <c r="N12" s="3">
        <f>+'Table 2.4.3-B4'!$C$29+'Table 2.4.3-B4'!$E$29</f>
        <v>222</v>
      </c>
      <c r="O12" s="3">
        <f>+'Table 2.4.3-B4'!$C$48+'Table 2.4.3-B4'!$E$48</f>
        <v>284</v>
      </c>
      <c r="P12" s="3">
        <f>+'Table 2.4.3-B5'!$C$29+'Table 2.4.3-B5'!$E$29</f>
        <v>218</v>
      </c>
      <c r="Q12" s="3">
        <f>+'Table 2.4.3-B5'!$C$48+'Table 2.4.3-B5'!$E$48</f>
        <v>162</v>
      </c>
      <c r="R12" s="3">
        <f>+'Table 2.4.3-B6'!$C$29+'Table 2.4.3-B6'!$E$29</f>
        <v>134</v>
      </c>
      <c r="S12" s="3">
        <f>+'Table 2.4.3-B6'!$C$48+'Table 2.4.3-B6'!$E$48</f>
        <v>109</v>
      </c>
      <c r="T12" s="3">
        <f>+'Table 2.4.3-B7'!$C$29+'Table 2.4.3-B7'!$E$29</f>
        <v>91</v>
      </c>
      <c r="U12" s="3">
        <f>+'Table 2.4.3-B7'!$C$48+'Table 2.4.3-B7'!$E$48</f>
        <v>70</v>
      </c>
      <c r="V12" s="3">
        <f>+'Table 2.4.3-B8'!$C$29+'Table 2.4.3-B8'!$E$29</f>
        <v>89</v>
      </c>
      <c r="W12" s="3">
        <f>+'Table 2.4.3-B8'!$C$48+'Table 2.4.3-B8'!$E$48</f>
        <v>98</v>
      </c>
      <c r="X12" s="3">
        <f>+'Table 2.4.3-B9'!$C$29+'Table 2.4.3-B8'!$E$29</f>
        <v>88</v>
      </c>
      <c r="Y12" s="3">
        <f>+[1]Sheet1!K5+[1]Sheet1!K6</f>
        <v>88</v>
      </c>
      <c r="Z12" s="3">
        <f>+[1]Sheet1!L5+[1]Sheet1!L6</f>
        <v>87</v>
      </c>
      <c r="AA12" s="3">
        <f>+'[27]Bldg Permit Charts'!M78+'[27]Bldg Permit Charts'!M79</f>
        <v>123</v>
      </c>
      <c r="AB12" s="3">
        <f>+'[27]Bldg Permit Charts'!N78+'[27]Bldg Permit Charts'!N79</f>
        <v>164</v>
      </c>
      <c r="AC12" s="3">
        <f>+'[27]Bldg Permit Charts'!O78+'[27]Bldg Permit Charts'!O79</f>
        <v>175</v>
      </c>
      <c r="AD12" s="3">
        <f>+'[27]Bldg Permit Charts'!P78+'[27]Bldg Permit Charts'!P79</f>
        <v>184</v>
      </c>
    </row>
    <row r="13" spans="2:30" x14ac:dyDescent="0.2">
      <c r="B13" s="34" t="s">
        <v>71</v>
      </c>
      <c r="C13" s="3">
        <v>1</v>
      </c>
      <c r="D13" s="3">
        <v>2</v>
      </c>
      <c r="E13" s="3">
        <v>1</v>
      </c>
      <c r="F13" s="3">
        <v>0</v>
      </c>
      <c r="G13" s="3">
        <f>2*1</f>
        <v>2</v>
      </c>
      <c r="H13" s="3">
        <v>1</v>
      </c>
      <c r="I13" s="3">
        <v>1</v>
      </c>
      <c r="J13" s="3">
        <f>+'Table 2.4.3-B2'!$K$29</f>
        <v>1</v>
      </c>
      <c r="K13" s="3">
        <f>+'Table 2.4.3-B2'!$K$48</f>
        <v>0</v>
      </c>
      <c r="L13" s="3">
        <f>+'Table 2.4.3-B3'!$K$29</f>
        <v>2</v>
      </c>
      <c r="M13" s="3">
        <f>+'Table 2.4.3-B3'!$K$48</f>
        <v>4</v>
      </c>
      <c r="N13" s="3">
        <f>+'Table 2.4.3-B4'!$K$29</f>
        <v>1</v>
      </c>
      <c r="O13" s="3">
        <f>+'Table 2.4.3-B4'!$K$48</f>
        <v>2</v>
      </c>
      <c r="P13" s="3">
        <f>+'Table 2.4.3-B5'!$K$29</f>
        <v>0</v>
      </c>
      <c r="Q13" s="3">
        <f>+'Table 2.4.3-B5'!$K$48</f>
        <v>1</v>
      </c>
      <c r="R13" s="3">
        <f>+'Table 2.4.3-B6'!$K$29</f>
        <v>2</v>
      </c>
      <c r="S13" s="3">
        <f>+'Table 2.4.3-B6'!$K$48</f>
        <v>15</v>
      </c>
      <c r="T13" s="3">
        <f>+'Table 2.4.3-B7'!$K$29</f>
        <v>5</v>
      </c>
      <c r="U13" s="3">
        <f>+'Table 2.4.3-B7'!$K$48</f>
        <v>3</v>
      </c>
      <c r="V13" s="3">
        <f>+'Table 2.4.3-B8'!$K$29</f>
        <v>3</v>
      </c>
      <c r="W13" s="3">
        <f>+'Table 2.4.3-B8'!$K$48</f>
        <v>4</v>
      </c>
      <c r="X13" s="3">
        <f>+'Table 2.4.3-B9'!$K$29</f>
        <v>3</v>
      </c>
      <c r="Y13" s="3">
        <f>+[1]Sheet1!K9</f>
        <v>0</v>
      </c>
      <c r="Z13" s="3">
        <f>+[1]Sheet1!L9</f>
        <v>1</v>
      </c>
      <c r="AA13" s="3">
        <f>+'[27]Bldg Permit Charts'!M82</f>
        <v>0</v>
      </c>
      <c r="AB13" s="3">
        <f>+'[27]Bldg Permit Charts'!N82</f>
        <v>1</v>
      </c>
      <c r="AC13" s="3">
        <f>+'[27]Bldg Permit Charts'!O82</f>
        <v>0</v>
      </c>
      <c r="AD13" s="3">
        <f>+'[27]Bldg Permit Charts'!P82</f>
        <v>0</v>
      </c>
    </row>
    <row r="14" spans="2:30" x14ac:dyDescent="0.2">
      <c r="B14" s="34" t="s">
        <v>10</v>
      </c>
      <c r="C14" s="3">
        <v>6</v>
      </c>
      <c r="D14" s="3">
        <v>6</v>
      </c>
      <c r="E14" s="3">
        <v>5</v>
      </c>
      <c r="F14" s="3">
        <v>6</v>
      </c>
      <c r="G14" s="3">
        <f>2*2</f>
        <v>4</v>
      </c>
      <c r="H14" s="3">
        <v>6</v>
      </c>
      <c r="I14" s="3">
        <v>12</v>
      </c>
      <c r="J14" s="3">
        <f>+'Table 2.4.3-B2'!$M$29</f>
        <v>4</v>
      </c>
      <c r="K14" s="3">
        <f>+'Table 2.4.3-B2'!$M$48</f>
        <v>2</v>
      </c>
      <c r="L14" s="3">
        <f>+'Table 2.4.3-B3'!$M$29</f>
        <v>6</v>
      </c>
      <c r="M14" s="3">
        <f>+'Table 2.4.3-B3'!$M$48</f>
        <v>7</v>
      </c>
      <c r="N14" s="3">
        <f>+'Table 2.4.3-B4'!$M$29</f>
        <v>8</v>
      </c>
      <c r="O14" s="3">
        <f>+'Table 2.4.3-B4'!$M$48</f>
        <v>12</v>
      </c>
      <c r="P14" s="3">
        <f>+'Table 2.4.3-B5'!$M$29</f>
        <v>11</v>
      </c>
      <c r="Q14" s="3">
        <f>+'Table 2.4.3-B5'!$M$48</f>
        <v>14</v>
      </c>
      <c r="R14" s="3">
        <f>+'Table 2.4.3-B6'!$M$29</f>
        <v>3</v>
      </c>
      <c r="S14" s="3">
        <f>+'Table 2.4.3-B6'!$M$48</f>
        <v>1</v>
      </c>
      <c r="T14" s="3">
        <f>+'Table 2.4.3-B7'!$M$29</f>
        <v>7</v>
      </c>
      <c r="U14" s="3">
        <f>+'Table 2.4.3-B7'!$M$48</f>
        <v>1</v>
      </c>
      <c r="V14" s="3">
        <f>+'Table 2.4.3-B8'!$M$29</f>
        <v>4</v>
      </c>
      <c r="W14" s="3">
        <f>+'Table 2.4.3-B8'!$M$48</f>
        <v>1</v>
      </c>
      <c r="X14" s="3">
        <f>+'Table 2.4.3-B9'!$M$29</f>
        <v>9</v>
      </c>
      <c r="Y14" s="3">
        <f>+[1]Sheet1!K10</f>
        <v>3</v>
      </c>
      <c r="Z14" s="3">
        <f>+[1]Sheet1!L10</f>
        <v>6</v>
      </c>
      <c r="AA14" s="3">
        <f>+'[27]Bldg Permit Charts'!M83</f>
        <v>16</v>
      </c>
      <c r="AB14" s="3">
        <f>+'[27]Bldg Permit Charts'!N83</f>
        <v>10</v>
      </c>
      <c r="AC14" s="3">
        <f>+'[27]Bldg Permit Charts'!O83</f>
        <v>7</v>
      </c>
      <c r="AD14" s="3">
        <f>+'[27]Bldg Permit Charts'!P83</f>
        <v>7</v>
      </c>
    </row>
    <row r="15" spans="2:30" x14ac:dyDescent="0.2">
      <c r="B15" s="135" t="s">
        <v>11</v>
      </c>
      <c r="C15" s="39">
        <f t="shared" ref="C15:E15" si="0">SUM(C10:C14)</f>
        <v>153</v>
      </c>
      <c r="D15" s="39">
        <f t="shared" si="0"/>
        <v>175</v>
      </c>
      <c r="E15" s="39">
        <f t="shared" si="0"/>
        <v>221</v>
      </c>
      <c r="F15" s="39">
        <f>SUM(F10:F14)</f>
        <v>215</v>
      </c>
      <c r="G15" s="39">
        <f t="shared" ref="G15:X15" si="1">SUM(G10:G14)</f>
        <v>196</v>
      </c>
      <c r="H15" s="39">
        <f>SUM(H10:H14)</f>
        <v>238</v>
      </c>
      <c r="I15" s="39">
        <f t="shared" si="1"/>
        <v>231</v>
      </c>
      <c r="J15" s="39">
        <f t="shared" si="1"/>
        <v>221</v>
      </c>
      <c r="K15" s="39">
        <f t="shared" si="1"/>
        <v>201</v>
      </c>
      <c r="L15" s="39">
        <f t="shared" si="1"/>
        <v>207</v>
      </c>
      <c r="M15" s="39">
        <f t="shared" si="1"/>
        <v>266</v>
      </c>
      <c r="N15" s="39">
        <f t="shared" si="1"/>
        <v>268</v>
      </c>
      <c r="O15" s="39">
        <f t="shared" si="1"/>
        <v>326</v>
      </c>
      <c r="P15" s="39">
        <f t="shared" si="1"/>
        <v>244</v>
      </c>
      <c r="Q15" s="39">
        <f t="shared" si="1"/>
        <v>191</v>
      </c>
      <c r="R15" s="39">
        <f t="shared" si="1"/>
        <v>164</v>
      </c>
      <c r="S15" s="39">
        <f>SUM(S10:S14)</f>
        <v>149</v>
      </c>
      <c r="T15" s="39">
        <f t="shared" si="1"/>
        <v>125</v>
      </c>
      <c r="U15" s="39">
        <f t="shared" si="1"/>
        <v>97</v>
      </c>
      <c r="V15" s="39">
        <f t="shared" si="1"/>
        <v>124</v>
      </c>
      <c r="W15" s="39">
        <f>SUM(W10:W14)</f>
        <v>118</v>
      </c>
      <c r="X15" s="39">
        <f t="shared" si="1"/>
        <v>116</v>
      </c>
      <c r="Y15" s="39">
        <f t="shared" ref="Y15:AD15" si="2">SUM(Y10:Y14)</f>
        <v>101</v>
      </c>
      <c r="Z15" s="39">
        <f t="shared" si="2"/>
        <v>114</v>
      </c>
      <c r="AA15" s="39">
        <f t="shared" si="2"/>
        <v>150</v>
      </c>
      <c r="AB15" s="39">
        <f t="shared" si="2"/>
        <v>189</v>
      </c>
      <c r="AC15" s="39">
        <f t="shared" si="2"/>
        <v>193</v>
      </c>
      <c r="AD15" s="39">
        <f t="shared" si="2"/>
        <v>204</v>
      </c>
    </row>
    <row r="16" spans="2:30" x14ac:dyDescent="0.2">
      <c r="B16" s="136" t="s">
        <v>107</v>
      </c>
      <c r="C16" s="26">
        <v>412</v>
      </c>
      <c r="D16" s="26">
        <v>691</v>
      </c>
      <c r="E16" s="26">
        <v>664</v>
      </c>
      <c r="F16" s="26">
        <v>494</v>
      </c>
      <c r="G16" s="26">
        <f>211*4</f>
        <v>844</v>
      </c>
      <c r="H16" s="26">
        <v>853</v>
      </c>
      <c r="I16" s="26">
        <v>751</v>
      </c>
      <c r="J16" s="26">
        <f>+'Table 2.4.3-B2'!P29/(187.6*1000)</f>
        <v>927.71586999999988</v>
      </c>
      <c r="K16" s="26">
        <f>'Table 2.4.3-B2'!P48/(187.6*1000)</f>
        <v>663.30761999999993</v>
      </c>
      <c r="L16" s="26">
        <f>+'Table 2.4.3-B3'!P29/(187.6*1000)</f>
        <v>1075.5517649999997</v>
      </c>
      <c r="M16" s="26">
        <f>+'Table 2.4.3-B3'!$P$48/(187.6*1000)</f>
        <v>2483.1547468869935</v>
      </c>
      <c r="N16" s="26">
        <f>'Table 2.4.3-B4'!$P$29/(187.6*1000)</f>
        <v>449.34566999999993</v>
      </c>
      <c r="O16" s="26">
        <f>+'Table 2.4.3-B4'!$P$48/(187.6*1000)</f>
        <v>2098.0826705756931</v>
      </c>
      <c r="P16" s="26">
        <f>'Table 2.4.3-B5'!$P$29/(187.6*1000)</f>
        <v>435.18130330490408</v>
      </c>
      <c r="Q16" s="26">
        <f>+'Table 2.4.3-B5'!$P$48/(187.6*1000)</f>
        <v>360.22200959488271</v>
      </c>
      <c r="R16" s="26">
        <f>'Table 2.4.3-B6'!$P$29/(187.6*1000)</f>
        <v>290.81807036247335</v>
      </c>
      <c r="S16" s="26">
        <f>+'Table 2.4.3-B6'!$P$48/(187.6*1000)</f>
        <v>338.94296375266526</v>
      </c>
      <c r="T16" s="26">
        <f>'Table 2.4.3-B7'!$P$29/(187.6*1000)</f>
        <v>261.82728144989341</v>
      </c>
      <c r="U16" s="26">
        <f>+'Table 2.4.3-B7'!$P$48/(187.6*1000)</f>
        <v>194.17704157782515</v>
      </c>
      <c r="V16" s="26">
        <f>'Table 2.4.3-B8'!$P$29/(187.6*1000)</f>
        <v>275.90085287846483</v>
      </c>
      <c r="W16" s="26">
        <f>+'Table 2.4.3-B8'!$P$48/(187.6*1000)</f>
        <v>258.01652452025587</v>
      </c>
      <c r="X16" s="26">
        <f>+'Table 2.4.3-B9'!$P$29/(187.6*1000)</f>
        <v>344.49413646055439</v>
      </c>
      <c r="Y16" s="26">
        <f>+'Table 2.4.3-B9'!$P$48/(187.6*1000)</f>
        <v>311.6087420042644</v>
      </c>
      <c r="Z16" s="26"/>
      <c r="AA16" s="26"/>
      <c r="AB16" s="26"/>
      <c r="AC16" s="26"/>
      <c r="AD16" s="26"/>
    </row>
    <row r="17" spans="1:30" x14ac:dyDescent="0.2">
      <c r="B17" s="136" t="s">
        <v>63</v>
      </c>
      <c r="C17" s="167"/>
      <c r="D17" s="138">
        <f>IF(C15=0,0,((D15-C15)/C15*100))</f>
        <v>14.37908496732026</v>
      </c>
      <c r="E17" s="138">
        <f>IF(D15=0,0,((E15-D15)/D15*100))</f>
        <v>26.285714285714285</v>
      </c>
      <c r="F17" s="138">
        <f t="shared" ref="F17:X17" si="3">IF(E15=0,0,((F15-E15)/E15*100))</f>
        <v>-2.7149321266968327</v>
      </c>
      <c r="G17" s="138">
        <f t="shared" si="3"/>
        <v>-8.8372093023255811</v>
      </c>
      <c r="H17" s="138">
        <f t="shared" si="3"/>
        <v>21.428571428571427</v>
      </c>
      <c r="I17" s="138">
        <f t="shared" si="3"/>
        <v>-2.9411764705882351</v>
      </c>
      <c r="J17" s="138">
        <f t="shared" si="3"/>
        <v>-4.329004329004329</v>
      </c>
      <c r="K17" s="138">
        <f>IF(J15=0,0,((K15-J15)/J15*100))</f>
        <v>-9.0497737556561084</v>
      </c>
      <c r="L17" s="138">
        <f t="shared" si="3"/>
        <v>2.9850746268656714</v>
      </c>
      <c r="M17" s="138">
        <f t="shared" si="3"/>
        <v>28.502415458937197</v>
      </c>
      <c r="N17" s="138">
        <f t="shared" si="3"/>
        <v>0.75187969924812026</v>
      </c>
      <c r="O17" s="138">
        <f t="shared" si="3"/>
        <v>21.641791044776117</v>
      </c>
      <c r="P17" s="138">
        <f t="shared" si="3"/>
        <v>-25.153374233128833</v>
      </c>
      <c r="Q17" s="138">
        <f t="shared" si="3"/>
        <v>-21.721311475409834</v>
      </c>
      <c r="R17" s="138">
        <f t="shared" si="3"/>
        <v>-14.136125654450263</v>
      </c>
      <c r="S17" s="138">
        <f t="shared" si="3"/>
        <v>-9.1463414634146343</v>
      </c>
      <c r="T17" s="138">
        <f t="shared" si="3"/>
        <v>-16.107382550335569</v>
      </c>
      <c r="U17" s="138">
        <f t="shared" si="3"/>
        <v>-22.400000000000002</v>
      </c>
      <c r="V17" s="138">
        <f t="shared" si="3"/>
        <v>27.835051546391753</v>
      </c>
      <c r="W17" s="138">
        <f t="shared" si="3"/>
        <v>-4.838709677419355</v>
      </c>
      <c r="X17" s="138">
        <f t="shared" si="3"/>
        <v>-1.6949152542372881</v>
      </c>
      <c r="Y17" s="138">
        <f t="shared" ref="Y17:Y18" si="4">IF(X15=0,0,((Y15-X15)/X15*100))</f>
        <v>-12.931034482758621</v>
      </c>
      <c r="Z17" s="138">
        <f t="shared" ref="Z17:Z18" si="5">IF(Y15=0,0,((Z15-Y15)/Y15*100))</f>
        <v>12.871287128712872</v>
      </c>
      <c r="AA17" s="138">
        <f t="shared" ref="AA17:AA18" si="6">IF(Z15=0,0,((AA15-Z15)/Z15*100))</f>
        <v>31.578947368421051</v>
      </c>
      <c r="AB17" s="138">
        <f t="shared" ref="AB17:AB18" si="7">IF(AA15=0,0,((AB15-AA15)/AA15*100))</f>
        <v>26</v>
      </c>
      <c r="AC17" s="138">
        <f t="shared" ref="AC17:AC18" si="8">IF(AB15=0,0,((AC15-AB15)/AB15*100))</f>
        <v>2.1164021164021163</v>
      </c>
      <c r="AD17" s="138">
        <f t="shared" ref="AD17:AD18" si="9">IF(AC15=0,0,((AD15-AC15)/AC15*100))</f>
        <v>5.6994818652849739</v>
      </c>
    </row>
    <row r="18" spans="1:30" ht="13.5" thickBot="1" x14ac:dyDescent="0.25">
      <c r="B18" s="137" t="s">
        <v>108</v>
      </c>
      <c r="C18" s="168"/>
      <c r="D18" s="35">
        <f>IF(C16=0,0,((D16-C16)/C16*100))</f>
        <v>67.71844660194175</v>
      </c>
      <c r="E18" s="35">
        <f>IF(D16=0,0,((E16-D16)/D16*100))</f>
        <v>-3.907380607814761</v>
      </c>
      <c r="F18" s="35">
        <f t="shared" ref="F18:J18" si="10">IF(E16=0,0,((F16-E16)/E16*100))</f>
        <v>-25.602409638554217</v>
      </c>
      <c r="G18" s="35">
        <f t="shared" si="10"/>
        <v>70.850202429149803</v>
      </c>
      <c r="H18" s="35">
        <f t="shared" si="10"/>
        <v>1.066350710900474</v>
      </c>
      <c r="I18" s="35">
        <f t="shared" si="10"/>
        <v>-11.957796014067995</v>
      </c>
      <c r="J18" s="35">
        <f t="shared" si="10"/>
        <v>23.530741677762968</v>
      </c>
      <c r="K18" s="35">
        <f>IF(J16=0,0,((K16-J16)/J16*100))</f>
        <v>-28.500994598701862</v>
      </c>
      <c r="L18" s="35">
        <f t="shared" ref="L18:S18" si="11">IF(K16=0,0,((L16-K16)/K16*100))</f>
        <v>62.149767705065685</v>
      </c>
      <c r="M18" s="35">
        <f t="shared" si="11"/>
        <v>130.87263929941989</v>
      </c>
      <c r="N18" s="35">
        <f t="shared" si="11"/>
        <v>-81.9042421515082</v>
      </c>
      <c r="O18" s="35">
        <f t="shared" si="11"/>
        <v>366.91952557942608</v>
      </c>
      <c r="P18" s="35">
        <f t="shared" si="11"/>
        <v>-79.258143189110157</v>
      </c>
      <c r="Q18" s="35">
        <f t="shared" si="11"/>
        <v>-17.224842414128744</v>
      </c>
      <c r="R18" s="35">
        <f t="shared" si="11"/>
        <v>-19.266990184876061</v>
      </c>
      <c r="S18" s="35">
        <f t="shared" si="11"/>
        <v>16.548109727228926</v>
      </c>
      <c r="T18" s="35">
        <f t="shared" ref="T18:X18" si="12">IF(S16=0,0,((T16-S16)/S16*100))</f>
        <v>-22.751816839320789</v>
      </c>
      <c r="U18" s="35">
        <f t="shared" si="12"/>
        <v>-25.837735280085649</v>
      </c>
      <c r="V18" s="35">
        <f t="shared" si="12"/>
        <v>42.08726769991766</v>
      </c>
      <c r="W18" s="35">
        <f t="shared" si="12"/>
        <v>-6.4821576923820023</v>
      </c>
      <c r="X18" s="35">
        <f t="shared" si="12"/>
        <v>33.516307570257773</v>
      </c>
      <c r="Y18" s="35">
        <f>IF(X16=0,0,((Y16-X16)/X16*100))</f>
        <v>-9.5459954105940099</v>
      </c>
      <c r="Z18" s="35">
        <f t="shared" si="5"/>
        <v>-100</v>
      </c>
      <c r="AA18" s="35">
        <f t="shared" si="6"/>
        <v>0</v>
      </c>
      <c r="AB18" s="35">
        <f t="shared" si="7"/>
        <v>0</v>
      </c>
      <c r="AC18" s="35">
        <f t="shared" si="8"/>
        <v>0</v>
      </c>
      <c r="AD18" s="35">
        <f t="shared" si="9"/>
        <v>0</v>
      </c>
    </row>
    <row r="19" spans="1:30" x14ac:dyDescent="0.2">
      <c r="B19" s="4"/>
      <c r="C19" s="5"/>
      <c r="D19" s="5"/>
      <c r="E19" s="5"/>
      <c r="F19" s="5"/>
      <c r="G19" s="5"/>
      <c r="H19" s="5"/>
      <c r="I19" s="5"/>
      <c r="J19" s="5"/>
    </row>
    <row r="20" spans="1:30" x14ac:dyDescent="0.2">
      <c r="B20" s="181" t="s">
        <v>111</v>
      </c>
      <c r="C20" s="181"/>
      <c r="D20" s="181"/>
      <c r="E20" s="181"/>
      <c r="F20" s="181"/>
      <c r="G20" s="181"/>
      <c r="H20" s="181"/>
      <c r="I20" s="181"/>
      <c r="J20" s="181"/>
      <c r="K20" s="6"/>
      <c r="L20" s="6"/>
      <c r="M20" s="6"/>
      <c r="N20" s="6"/>
      <c r="O20" s="6"/>
      <c r="P20" s="6"/>
      <c r="Q20" s="6"/>
      <c r="R20" s="6"/>
      <c r="S20" s="6"/>
      <c r="Z20" s="23"/>
      <c r="AA20" s="23"/>
    </row>
    <row r="21" spans="1:30" x14ac:dyDescent="0.2">
      <c r="B21" s="181" t="s">
        <v>112</v>
      </c>
      <c r="C21" s="181"/>
      <c r="D21" s="181"/>
      <c r="E21" s="181"/>
      <c r="F21" s="181"/>
      <c r="G21" s="181"/>
      <c r="H21" s="181"/>
      <c r="I21" s="181"/>
      <c r="J21" s="181"/>
      <c r="K21" s="7"/>
      <c r="L21" s="6"/>
      <c r="M21" s="6"/>
      <c r="N21" s="6"/>
      <c r="O21" s="6"/>
      <c r="P21" s="6"/>
      <c r="Q21" s="6"/>
      <c r="R21" s="6"/>
      <c r="S21" s="6"/>
      <c r="Z21" s="23"/>
      <c r="AA21" s="23"/>
    </row>
    <row r="22" spans="1:30" x14ac:dyDescent="0.2">
      <c r="B22" s="171" t="s">
        <v>113</v>
      </c>
      <c r="C22" s="171"/>
      <c r="D22" s="171"/>
      <c r="E22" s="171"/>
      <c r="F22" s="171"/>
      <c r="G22" s="171"/>
      <c r="H22" s="171"/>
      <c r="I22" s="171"/>
      <c r="J22" s="172"/>
      <c r="K22" s="8"/>
      <c r="Z22" s="23"/>
      <c r="AA22" s="23"/>
    </row>
    <row r="23" spans="1:30" x14ac:dyDescent="0.2">
      <c r="Z23" s="23"/>
      <c r="AA23" s="23"/>
    </row>
    <row r="24" spans="1:30" x14ac:dyDescent="0.2">
      <c r="A24" s="4"/>
      <c r="B24" s="36" t="s">
        <v>47</v>
      </c>
      <c r="D24" s="37"/>
      <c r="E24" s="37"/>
      <c r="F24" s="37"/>
      <c r="G24" s="37"/>
      <c r="Z24" s="23"/>
      <c r="AA24" s="23"/>
    </row>
    <row r="25" spans="1:30" s="23" customFormat="1" ht="15.75" customHeight="1" x14ac:dyDescent="0.25">
      <c r="B25" s="38"/>
      <c r="C25" s="38"/>
      <c r="D25" s="38"/>
      <c r="E25" s="38"/>
      <c r="F25" s="38"/>
      <c r="G25" s="38"/>
      <c r="H25"/>
      <c r="I25"/>
      <c r="J25" s="2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30" x14ac:dyDescent="0.2">
      <c r="A26" s="4"/>
      <c r="B26" s="36"/>
      <c r="D26" s="37"/>
      <c r="E26" s="37"/>
      <c r="F26" s="37"/>
      <c r="G26" s="37"/>
    </row>
  </sheetData>
  <mergeCells count="2">
    <mergeCell ref="B20:J20"/>
    <mergeCell ref="B21:J21"/>
  </mergeCells>
  <pageMargins left="0.75" right="0.25" top="1" bottom="1" header="0.5" footer="0.5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R74"/>
  <sheetViews>
    <sheetView zoomScaleNormal="100" workbookViewId="0">
      <pane xSplit="2" ySplit="11" topLeftCell="I42" activePane="bottomRight" state="frozen"/>
      <selection pane="topRight" activeCell="C1" sqref="C1"/>
      <selection pane="bottomLeft" activeCell="A13" sqref="A13"/>
      <selection pane="bottomRight" activeCell="M4" sqref="M4"/>
    </sheetView>
  </sheetViews>
  <sheetFormatPr defaultRowHeight="11.25" x14ac:dyDescent="0.2"/>
  <cols>
    <col min="1" max="1" width="1.140625" style="2" customWidth="1"/>
    <col min="2" max="2" width="42.7109375" style="2" customWidth="1"/>
    <col min="3" max="3" width="8" style="2" bestFit="1" customWidth="1"/>
    <col min="4" max="4" width="12.5703125" style="2" bestFit="1" customWidth="1"/>
    <col min="5" max="5" width="8" style="2" bestFit="1" customWidth="1"/>
    <col min="6" max="6" width="15.7109375" style="2" customWidth="1"/>
    <col min="7" max="7" width="7.7109375" style="2" customWidth="1"/>
    <col min="8" max="8" width="12.5703125" style="2" bestFit="1" customWidth="1"/>
    <col min="9" max="9" width="8" style="2" bestFit="1" customWidth="1"/>
    <col min="10" max="10" width="12.5703125" style="2" bestFit="1" customWidth="1"/>
    <col min="11" max="11" width="8" style="2" bestFit="1" customWidth="1"/>
    <col min="12" max="12" width="12.42578125" style="2" customWidth="1"/>
    <col min="13" max="13" width="8" style="2" bestFit="1" customWidth="1"/>
    <col min="14" max="14" width="10.42578125" style="2" bestFit="1" customWidth="1"/>
    <col min="15" max="15" width="7.140625" style="9" bestFit="1" customWidth="1"/>
    <col min="16" max="16" width="13.5703125" style="9" bestFit="1" customWidth="1"/>
    <col min="17" max="16384" width="9.140625" style="2"/>
  </cols>
  <sheetData>
    <row r="2" spans="2:16" s="23" customFormat="1" ht="12.75" x14ac:dyDescent="0.2">
      <c r="B2" s="24" t="str">
        <f ca="1">MID(CELL("filename",A1),FIND("]",CELL("filename",A1))+1,255)</f>
        <v>Table 2.4.3-B2</v>
      </c>
    </row>
    <row r="3" spans="2:16" s="23" customFormat="1" ht="12.75" x14ac:dyDescent="0.2"/>
    <row r="4" spans="2:16" s="23" customFormat="1" ht="12.75" x14ac:dyDescent="0.2">
      <c r="B4" s="1" t="s">
        <v>6</v>
      </c>
    </row>
    <row r="5" spans="2:16" s="23" customFormat="1" ht="12.75" x14ac:dyDescent="0.2">
      <c r="B5" s="1" t="s">
        <v>12</v>
      </c>
    </row>
    <row r="6" spans="2:16" s="23" customFormat="1" ht="12.75" x14ac:dyDescent="0.2">
      <c r="B6" s="1" t="s">
        <v>99</v>
      </c>
    </row>
    <row r="7" spans="2:16" s="23" customFormat="1" ht="12.75" x14ac:dyDescent="0.2">
      <c r="B7" s="1" t="s">
        <v>67</v>
      </c>
    </row>
    <row r="8" spans="2:16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2:16" ht="12" x14ac:dyDescent="0.2">
      <c r="B9" s="46"/>
      <c r="C9" s="182" t="s">
        <v>13</v>
      </c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</row>
    <row r="10" spans="2:16" ht="29.25" customHeight="1" x14ac:dyDescent="0.2">
      <c r="B10" s="44"/>
      <c r="C10" s="184" t="s">
        <v>32</v>
      </c>
      <c r="D10" s="185"/>
      <c r="E10" s="186" t="s">
        <v>70</v>
      </c>
      <c r="F10" s="186"/>
      <c r="G10" s="184" t="s">
        <v>31</v>
      </c>
      <c r="H10" s="185"/>
      <c r="I10" s="186" t="s">
        <v>30</v>
      </c>
      <c r="J10" s="185"/>
      <c r="K10" s="184" t="s">
        <v>34</v>
      </c>
      <c r="L10" s="185"/>
      <c r="M10" s="184" t="s">
        <v>33</v>
      </c>
      <c r="N10" s="185"/>
      <c r="O10" s="186" t="s">
        <v>35</v>
      </c>
      <c r="P10" s="186"/>
    </row>
    <row r="11" spans="2:16" ht="12" x14ac:dyDescent="0.2">
      <c r="B11" s="45" t="s">
        <v>29</v>
      </c>
      <c r="C11" s="85" t="s">
        <v>2</v>
      </c>
      <c r="D11" s="76" t="s">
        <v>3</v>
      </c>
      <c r="E11" s="47" t="s">
        <v>2</v>
      </c>
      <c r="F11" s="47" t="s">
        <v>3</v>
      </c>
      <c r="G11" s="154" t="s">
        <v>2</v>
      </c>
      <c r="H11" s="153" t="s">
        <v>3</v>
      </c>
      <c r="I11" s="47" t="s">
        <v>2</v>
      </c>
      <c r="J11" s="76" t="s">
        <v>3</v>
      </c>
      <c r="K11" s="85" t="s">
        <v>2</v>
      </c>
      <c r="L11" s="76" t="s">
        <v>3</v>
      </c>
      <c r="M11" s="85" t="s">
        <v>2</v>
      </c>
      <c r="N11" s="76" t="s">
        <v>3</v>
      </c>
      <c r="O11" s="47" t="s">
        <v>2</v>
      </c>
      <c r="P11" s="47" t="s">
        <v>3</v>
      </c>
    </row>
    <row r="12" spans="2:16" ht="12.75" x14ac:dyDescent="0.2">
      <c r="B12" s="48">
        <v>2002</v>
      </c>
      <c r="C12" s="49"/>
      <c r="D12" s="77"/>
      <c r="E12" s="49"/>
      <c r="F12" s="49"/>
      <c r="G12" s="86"/>
      <c r="H12" s="77"/>
      <c r="I12" s="49"/>
      <c r="J12" s="49"/>
      <c r="K12" s="86"/>
      <c r="L12" s="77"/>
      <c r="M12" s="86"/>
      <c r="N12" s="77"/>
      <c r="O12" s="49"/>
      <c r="P12" s="49"/>
    </row>
    <row r="13" spans="2:16" ht="12" x14ac:dyDescent="0.2">
      <c r="B13" s="64" t="s">
        <v>14</v>
      </c>
      <c r="C13" s="71">
        <f>'[2]Statisitcal Data'!C7</f>
        <v>18</v>
      </c>
      <c r="D13" s="78">
        <f>'[2]Statisitcal Data'!D7</f>
        <v>8957729.284</v>
      </c>
      <c r="E13" s="71">
        <f>'[2]Statisitcal Data'!E7</f>
        <v>1</v>
      </c>
      <c r="F13" s="50">
        <f>'[2]Statisitcal Data'!F7</f>
        <v>426977.6</v>
      </c>
      <c r="G13" s="87">
        <f>'[2]Statisitcal Data'!G7</f>
        <v>0</v>
      </c>
      <c r="H13" s="78">
        <f>'[2]Statisitcal Data'!H7</f>
        <v>0</v>
      </c>
      <c r="I13" s="71">
        <f>'[2]Statisitcal Data'!I7</f>
        <v>3</v>
      </c>
      <c r="J13" s="50">
        <f>'[2]Statisitcal Data'!J7</f>
        <v>1839479.9079999998</v>
      </c>
      <c r="K13" s="87">
        <f>'[2]Statisitcal Data'!K7</f>
        <v>0</v>
      </c>
      <c r="L13" s="78">
        <f>'[2]Statisitcal Data'!L7</f>
        <v>0</v>
      </c>
      <c r="M13" s="87">
        <f>'[2]Statisitcal Data'!M7</f>
        <v>0</v>
      </c>
      <c r="N13" s="78">
        <f>'[2]Statisitcal Data'!N7</f>
        <v>0</v>
      </c>
      <c r="O13" s="71">
        <f t="shared" ref="O13:O29" si="0">+C13+E13+G13+I13+M13+K13</f>
        <v>22</v>
      </c>
      <c r="P13" s="50">
        <f>+D13+F13+H13+J13+N13</f>
        <v>11224186.791999999</v>
      </c>
    </row>
    <row r="14" spans="2:16" ht="12" x14ac:dyDescent="0.2">
      <c r="B14" s="64" t="s">
        <v>15</v>
      </c>
      <c r="C14" s="71">
        <f>'[2]Statisitcal Data'!C8</f>
        <v>13</v>
      </c>
      <c r="D14" s="78">
        <f>'[2]Statisitcal Data'!D8</f>
        <v>4032994.784</v>
      </c>
      <c r="E14" s="71">
        <f>'[2]Statisitcal Data'!E8</f>
        <v>1</v>
      </c>
      <c r="F14" s="50">
        <f>'[2]Statisitcal Data'!F8</f>
        <v>323923.29200000002</v>
      </c>
      <c r="G14" s="87">
        <f>'[2]Statisitcal Data'!G8</f>
        <v>0</v>
      </c>
      <c r="H14" s="78">
        <f>'[2]Statisitcal Data'!H8</f>
        <v>0</v>
      </c>
      <c r="I14" s="71">
        <f>'[2]Statisitcal Data'!I8</f>
        <v>1</v>
      </c>
      <c r="J14" s="50">
        <f>'[2]Statisitcal Data'!J8</f>
        <v>210393.4</v>
      </c>
      <c r="K14" s="87">
        <f>'[2]Statisitcal Data'!K8</f>
        <v>0</v>
      </c>
      <c r="L14" s="78">
        <f>'[2]Statisitcal Data'!L8</f>
        <v>0</v>
      </c>
      <c r="M14" s="87">
        <f>'[2]Statisitcal Data'!M8</f>
        <v>0</v>
      </c>
      <c r="N14" s="78">
        <f>'[2]Statisitcal Data'!N8</f>
        <v>0</v>
      </c>
      <c r="O14" s="71">
        <f t="shared" si="0"/>
        <v>15</v>
      </c>
      <c r="P14" s="50">
        <f>+D14+F14+H14+J14+N14</f>
        <v>4567311.4760000007</v>
      </c>
    </row>
    <row r="15" spans="2:16" ht="12" x14ac:dyDescent="0.2">
      <c r="B15" s="64" t="s">
        <v>16</v>
      </c>
      <c r="C15" s="71">
        <f>'[2]Statisitcal Data'!C9</f>
        <v>13</v>
      </c>
      <c r="D15" s="78">
        <f>'[2]Statisitcal Data'!D9</f>
        <v>8235497.4239999996</v>
      </c>
      <c r="E15" s="71">
        <f>'[2]Statisitcal Data'!E9</f>
        <v>2</v>
      </c>
      <c r="F15" s="50">
        <f>'[2]Statisitcal Data'!F9</f>
        <v>1588784.4</v>
      </c>
      <c r="G15" s="87">
        <f>'[2]Statisitcal Data'!G9</f>
        <v>1</v>
      </c>
      <c r="H15" s="78">
        <f>'[2]Statisitcal Data'!H9</f>
        <v>4996726</v>
      </c>
      <c r="I15" s="71">
        <f>'[2]Statisitcal Data'!I9</f>
        <v>0</v>
      </c>
      <c r="J15" s="50">
        <f>'[2]Statisitcal Data'!J9</f>
        <v>0</v>
      </c>
      <c r="K15" s="87">
        <f>'[2]Statisitcal Data'!K9</f>
        <v>0</v>
      </c>
      <c r="L15" s="78">
        <f>'[2]Statisitcal Data'!L9</f>
        <v>0</v>
      </c>
      <c r="M15" s="87">
        <f>'[2]Statisitcal Data'!M9</f>
        <v>1</v>
      </c>
      <c r="N15" s="78">
        <f>'[2]Statisitcal Data'!N9</f>
        <v>66035.199999999997</v>
      </c>
      <c r="O15" s="71">
        <f t="shared" si="0"/>
        <v>17</v>
      </c>
      <c r="P15" s="50">
        <f>+D15+F15+H15+J15+N15</f>
        <v>14887043.023999998</v>
      </c>
    </row>
    <row r="16" spans="2:16" ht="12" x14ac:dyDescent="0.2">
      <c r="B16" s="51" t="s">
        <v>17</v>
      </c>
      <c r="C16" s="72">
        <f>SUM(C13:C15)</f>
        <v>44</v>
      </c>
      <c r="D16" s="79">
        <f>SUM(D13:D15)</f>
        <v>21226221.491999999</v>
      </c>
      <c r="E16" s="72">
        <f t="shared" ref="E16:J16" si="1">SUM(E13:E15)</f>
        <v>4</v>
      </c>
      <c r="F16" s="52">
        <f t="shared" si="1"/>
        <v>2339685.2919999999</v>
      </c>
      <c r="G16" s="88">
        <f t="shared" si="1"/>
        <v>1</v>
      </c>
      <c r="H16" s="79">
        <f t="shared" si="1"/>
        <v>4996726</v>
      </c>
      <c r="I16" s="72">
        <f t="shared" si="1"/>
        <v>4</v>
      </c>
      <c r="J16" s="52">
        <f t="shared" si="1"/>
        <v>2049873.3079999997</v>
      </c>
      <c r="K16" s="88">
        <f>SUM(K13:K15)</f>
        <v>0</v>
      </c>
      <c r="L16" s="79">
        <f>SUM(L13:L15)</f>
        <v>0</v>
      </c>
      <c r="M16" s="88">
        <f>SUM(M13:M15)</f>
        <v>1</v>
      </c>
      <c r="N16" s="79">
        <f>SUM(N13:N15)</f>
        <v>66035.199999999997</v>
      </c>
      <c r="O16" s="72">
        <f t="shared" si="0"/>
        <v>54</v>
      </c>
      <c r="P16" s="52">
        <f>SUM(P13:P15)</f>
        <v>30678541.291999996</v>
      </c>
    </row>
    <row r="17" spans="2:16" ht="12" x14ac:dyDescent="0.2">
      <c r="B17" s="64" t="s">
        <v>18</v>
      </c>
      <c r="C17" s="71">
        <f>'[2]Statisitcal Data'!C11</f>
        <v>19</v>
      </c>
      <c r="D17" s="78">
        <f>'[2]Statisitcal Data'!D11</f>
        <v>8477638.3719999995</v>
      </c>
      <c r="E17" s="71">
        <f>'[2]Statisitcal Data'!E11</f>
        <v>3</v>
      </c>
      <c r="F17" s="50">
        <f>'[2]Statisitcal Data'!F11</f>
        <v>1894446.7079999999</v>
      </c>
      <c r="G17" s="87">
        <f>'[2]Statisitcal Data'!G11</f>
        <v>1</v>
      </c>
      <c r="H17" s="78">
        <f>'[2]Statisitcal Data'!H11</f>
        <v>41541768.799999997</v>
      </c>
      <c r="I17" s="71">
        <f>'[2]Statisitcal Data'!I11</f>
        <v>2</v>
      </c>
      <c r="J17" s="50">
        <f>'[2]Statisitcal Data'!J11</f>
        <v>472875.81599999999</v>
      </c>
      <c r="K17" s="87">
        <f>'[2]Statisitcal Data'!K11</f>
        <v>0</v>
      </c>
      <c r="L17" s="78">
        <f>'[2]Statisitcal Data'!L11</f>
        <v>0</v>
      </c>
      <c r="M17" s="87">
        <f>'[2]Statisitcal Data'!M11</f>
        <v>0</v>
      </c>
      <c r="N17" s="78">
        <f>'[2]Statisitcal Data'!N11</f>
        <v>0</v>
      </c>
      <c r="O17" s="71">
        <f t="shared" si="0"/>
        <v>25</v>
      </c>
      <c r="P17" s="50">
        <f>+D17+F17+H17+J17+N17</f>
        <v>52386729.695999995</v>
      </c>
    </row>
    <row r="18" spans="2:16" ht="12" x14ac:dyDescent="0.2">
      <c r="B18" s="64" t="s">
        <v>19</v>
      </c>
      <c r="C18" s="71">
        <f>'[2]Statisitcal Data'!C12</f>
        <v>24</v>
      </c>
      <c r="D18" s="78">
        <f>'[2]Statisitcal Data'!D12</f>
        <v>12509378.112</v>
      </c>
      <c r="E18" s="71">
        <f>'[2]Statisitcal Data'!E12</f>
        <v>3</v>
      </c>
      <c r="F18" s="50">
        <f>'[2]Statisitcal Data'!F12</f>
        <v>2338358.96</v>
      </c>
      <c r="G18" s="87">
        <f>'[2]Statisitcal Data'!G12</f>
        <v>0</v>
      </c>
      <c r="H18" s="78">
        <f>'[2]Statisitcal Data'!H12</f>
        <v>0</v>
      </c>
      <c r="I18" s="71">
        <f>'[2]Statisitcal Data'!I12</f>
        <v>1</v>
      </c>
      <c r="J18" s="50">
        <f>'[2]Statisitcal Data'!J12</f>
        <v>163358.32799999998</v>
      </c>
      <c r="K18" s="87">
        <f>'[2]Statisitcal Data'!K12</f>
        <v>0</v>
      </c>
      <c r="L18" s="78">
        <f>'[2]Statisitcal Data'!L12</f>
        <v>0</v>
      </c>
      <c r="M18" s="87">
        <f>'[2]Statisitcal Data'!M12</f>
        <v>0</v>
      </c>
      <c r="N18" s="78">
        <f>'[2]Statisitcal Data'!N12</f>
        <v>0</v>
      </c>
      <c r="O18" s="71">
        <f t="shared" si="0"/>
        <v>28</v>
      </c>
      <c r="P18" s="50">
        <f>+D18+F18+H18+J18+N18</f>
        <v>15011095.4</v>
      </c>
    </row>
    <row r="19" spans="2:16" ht="12" x14ac:dyDescent="0.2">
      <c r="B19" s="64" t="s">
        <v>20</v>
      </c>
      <c r="C19" s="71">
        <f>'[2]Statisitcal Data'!C13</f>
        <v>15</v>
      </c>
      <c r="D19" s="78">
        <f>'[2]Statisitcal Data'!D13</f>
        <v>7838729.0520000011</v>
      </c>
      <c r="E19" s="71">
        <f>'[2]Statisitcal Data'!E13</f>
        <v>2</v>
      </c>
      <c r="F19" s="50">
        <f>'[2]Statisitcal Data'!F13</f>
        <v>1389678.892</v>
      </c>
      <c r="G19" s="87">
        <f>'[2]Statisitcal Data'!G13</f>
        <v>0</v>
      </c>
      <c r="H19" s="78">
        <f>'[2]Statisitcal Data'!H13</f>
        <v>0</v>
      </c>
      <c r="I19" s="71">
        <f>'[2]Statisitcal Data'!I13</f>
        <v>2</v>
      </c>
      <c r="J19" s="50">
        <f>'[2]Statisitcal Data'!J13</f>
        <v>926430.70799999987</v>
      </c>
      <c r="K19" s="87">
        <f>'[2]Statisitcal Data'!K13</f>
        <v>0</v>
      </c>
      <c r="L19" s="78">
        <f>'[2]Statisitcal Data'!L13</f>
        <v>0</v>
      </c>
      <c r="M19" s="87">
        <f>'[2]Statisitcal Data'!M13</f>
        <v>1</v>
      </c>
      <c r="N19" s="78">
        <f>'[2]Statisitcal Data'!N13</f>
        <v>600320</v>
      </c>
      <c r="O19" s="71">
        <f t="shared" si="0"/>
        <v>20</v>
      </c>
      <c r="P19" s="50">
        <f>+D19+F19+H19+J19+N19</f>
        <v>10755158.652000003</v>
      </c>
    </row>
    <row r="20" spans="2:16" ht="12" x14ac:dyDescent="0.2">
      <c r="B20" s="51" t="s">
        <v>21</v>
      </c>
      <c r="C20" s="72">
        <f t="shared" ref="C20:J20" si="2">SUM(C17:C19)</f>
        <v>58</v>
      </c>
      <c r="D20" s="79">
        <f t="shared" si="2"/>
        <v>28825745.535999998</v>
      </c>
      <c r="E20" s="72">
        <f t="shared" si="2"/>
        <v>8</v>
      </c>
      <c r="F20" s="52">
        <f t="shared" si="2"/>
        <v>5622484.5599999996</v>
      </c>
      <c r="G20" s="88">
        <f t="shared" si="2"/>
        <v>1</v>
      </c>
      <c r="H20" s="79">
        <f t="shared" si="2"/>
        <v>41541768.799999997</v>
      </c>
      <c r="I20" s="72">
        <f t="shared" si="2"/>
        <v>5</v>
      </c>
      <c r="J20" s="52">
        <f t="shared" si="2"/>
        <v>1562664.852</v>
      </c>
      <c r="K20" s="88">
        <f>SUM(K17:K19)</f>
        <v>0</v>
      </c>
      <c r="L20" s="79">
        <f>SUM(L17:L19)</f>
        <v>0</v>
      </c>
      <c r="M20" s="88">
        <f>SUM(M17:M19)</f>
        <v>1</v>
      </c>
      <c r="N20" s="79">
        <f>SUM(N17:N19)</f>
        <v>600320</v>
      </c>
      <c r="O20" s="72">
        <f t="shared" si="0"/>
        <v>73</v>
      </c>
      <c r="P20" s="52">
        <f>SUM(P17:P19)</f>
        <v>78152983.747999996</v>
      </c>
    </row>
    <row r="21" spans="2:16" ht="12" x14ac:dyDescent="0.2">
      <c r="B21" s="64" t="s">
        <v>22</v>
      </c>
      <c r="C21" s="71">
        <f>'[2]Statisitcal Data'!C15</f>
        <v>12</v>
      </c>
      <c r="D21" s="78">
        <f>'[2]Statisitcal Data'!D15</f>
        <v>5468740.7319999998</v>
      </c>
      <c r="E21" s="71">
        <f>'[2]Statisitcal Data'!E15</f>
        <v>2</v>
      </c>
      <c r="F21" s="50">
        <f>'[2]Statisitcal Data'!F15</f>
        <v>1055094.2919999999</v>
      </c>
      <c r="G21" s="87">
        <f>'[2]Statisitcal Data'!G15</f>
        <v>0</v>
      </c>
      <c r="H21" s="78">
        <f>'[2]Statisitcal Data'!H15</f>
        <v>0</v>
      </c>
      <c r="I21" s="71">
        <f>'[2]Statisitcal Data'!I15</f>
        <v>2</v>
      </c>
      <c r="J21" s="50">
        <f>'[2]Statisitcal Data'!J15</f>
        <v>3209423.28</v>
      </c>
      <c r="K21" s="87">
        <f>'[2]Statisitcal Data'!K15</f>
        <v>0</v>
      </c>
      <c r="L21" s="78">
        <f>'[2]Statisitcal Data'!L15</f>
        <v>0</v>
      </c>
      <c r="M21" s="87">
        <f>'[2]Statisitcal Data'!M15</f>
        <v>1</v>
      </c>
      <c r="N21" s="78">
        <f>'[2]Statisitcal Data'!N15</f>
        <v>200356.8</v>
      </c>
      <c r="O21" s="71">
        <f t="shared" si="0"/>
        <v>17</v>
      </c>
      <c r="P21" s="50">
        <f>+D21+F21+H21+J21+N21</f>
        <v>9933615.1040000003</v>
      </c>
    </row>
    <row r="22" spans="2:16" ht="12" x14ac:dyDescent="0.2">
      <c r="B22" s="64" t="s">
        <v>23</v>
      </c>
      <c r="C22" s="71">
        <f>'[2]Statisitcal Data'!C16</f>
        <v>6</v>
      </c>
      <c r="D22" s="78">
        <f>'[2]Statisitcal Data'!D16</f>
        <v>3461636.4720000001</v>
      </c>
      <c r="E22" s="71">
        <f>'[2]Statisitcal Data'!E16</f>
        <v>0</v>
      </c>
      <c r="F22" s="50">
        <f>'[2]Statisitcal Data'!F16</f>
        <v>0</v>
      </c>
      <c r="G22" s="87">
        <f>'[2]Statisitcal Data'!G16</f>
        <v>1</v>
      </c>
      <c r="H22" s="78">
        <f>'[2]Statisitcal Data'!H16</f>
        <v>3397295.3</v>
      </c>
      <c r="I22" s="71">
        <f>'[2]Statisitcal Data'!I16</f>
        <v>3</v>
      </c>
      <c r="J22" s="50">
        <f>'[2]Statisitcal Data'!J16</f>
        <v>1302009.6599999999</v>
      </c>
      <c r="K22" s="87">
        <f>'[2]Statisitcal Data'!K16</f>
        <v>0</v>
      </c>
      <c r="L22" s="78">
        <f>'[2]Statisitcal Data'!L16</f>
        <v>0</v>
      </c>
      <c r="M22" s="87">
        <f>'[2]Statisitcal Data'!M16</f>
        <v>0</v>
      </c>
      <c r="N22" s="78">
        <f>'[2]Statisitcal Data'!N16</f>
        <v>0</v>
      </c>
      <c r="O22" s="71">
        <f t="shared" si="0"/>
        <v>10</v>
      </c>
      <c r="P22" s="50">
        <f>+D22+F22+H22+J22+N22</f>
        <v>8160941.432</v>
      </c>
    </row>
    <row r="23" spans="2:16" ht="12" x14ac:dyDescent="0.2">
      <c r="B23" s="64" t="s">
        <v>36</v>
      </c>
      <c r="C23" s="71">
        <f>'[2]Statisitcal Data'!C17</f>
        <v>14</v>
      </c>
      <c r="D23" s="78">
        <f>'[2]Statisitcal Data'!D17</f>
        <v>7293417.1239999998</v>
      </c>
      <c r="E23" s="71">
        <f>'[2]Statisitcal Data'!E17</f>
        <v>4</v>
      </c>
      <c r="F23" s="50">
        <f>'[2]Statisitcal Data'!F17</f>
        <v>3178216.02</v>
      </c>
      <c r="G23" s="87">
        <f>'[2]Statisitcal Data'!G17</f>
        <v>0</v>
      </c>
      <c r="H23" s="78">
        <f>'[2]Statisitcal Data'!H17</f>
        <v>0</v>
      </c>
      <c r="I23" s="71">
        <f>'[2]Statisitcal Data'!I17</f>
        <v>4</v>
      </c>
      <c r="J23" s="50">
        <f>'[2]Statisitcal Data'!J17</f>
        <v>4897464.9639999997</v>
      </c>
      <c r="K23" s="87">
        <f>'[2]Statisitcal Data'!K17</f>
        <v>0</v>
      </c>
      <c r="L23" s="78">
        <f>'[2]Statisitcal Data'!L17</f>
        <v>0</v>
      </c>
      <c r="M23" s="87">
        <f>'[2]Statisitcal Data'!M17</f>
        <v>1</v>
      </c>
      <c r="N23" s="78">
        <f>'[2]Statisitcal Data'!N17</f>
        <v>94925.599999999991</v>
      </c>
      <c r="O23" s="71">
        <f t="shared" si="0"/>
        <v>23</v>
      </c>
      <c r="P23" s="50">
        <f>+D23+F23+H23+J23+N23</f>
        <v>15464023.707999999</v>
      </c>
    </row>
    <row r="24" spans="2:16" ht="12" x14ac:dyDescent="0.2">
      <c r="B24" s="51" t="s">
        <v>24</v>
      </c>
      <c r="C24" s="72">
        <f t="shared" ref="C24:J24" si="3">SUM(C21:C23)</f>
        <v>32</v>
      </c>
      <c r="D24" s="79">
        <f t="shared" si="3"/>
        <v>16223794.328</v>
      </c>
      <c r="E24" s="72">
        <f t="shared" si="3"/>
        <v>6</v>
      </c>
      <c r="F24" s="52">
        <f t="shared" si="3"/>
        <v>4233310.3119999999</v>
      </c>
      <c r="G24" s="88">
        <f t="shared" si="3"/>
        <v>1</v>
      </c>
      <c r="H24" s="79">
        <f t="shared" si="3"/>
        <v>3397295.3</v>
      </c>
      <c r="I24" s="72">
        <f t="shared" si="3"/>
        <v>9</v>
      </c>
      <c r="J24" s="52">
        <f t="shared" si="3"/>
        <v>9408897.9039999992</v>
      </c>
      <c r="K24" s="88">
        <f>SUM(K21:K23)</f>
        <v>0</v>
      </c>
      <c r="L24" s="79">
        <f>SUM(L21:L23)</f>
        <v>0</v>
      </c>
      <c r="M24" s="88">
        <f>SUM(M21:M23)</f>
        <v>2</v>
      </c>
      <c r="N24" s="79">
        <f>SUM(N21:N23)</f>
        <v>295282.39999999997</v>
      </c>
      <c r="O24" s="72">
        <f t="shared" si="0"/>
        <v>50</v>
      </c>
      <c r="P24" s="52">
        <f>SUM(P21:P23)</f>
        <v>33558580.243999995</v>
      </c>
    </row>
    <row r="25" spans="2:16" ht="12" x14ac:dyDescent="0.2">
      <c r="B25" s="64" t="s">
        <v>25</v>
      </c>
      <c r="C25" s="71">
        <f>'[2]Statisitcal Data'!C19</f>
        <v>14</v>
      </c>
      <c r="D25" s="78">
        <f>'[2]Statisitcal Data'!D19</f>
        <v>8576323.4759999998</v>
      </c>
      <c r="E25" s="71">
        <f>'[2]Statisitcal Data'!E19</f>
        <v>1</v>
      </c>
      <c r="F25" s="50">
        <f>'[2]Statisitcal Data'!F19</f>
        <v>378952</v>
      </c>
      <c r="G25" s="87">
        <f>'[2]Statisitcal Data'!G19</f>
        <v>0</v>
      </c>
      <c r="H25" s="78">
        <f>'[2]Statisitcal Data'!H19</f>
        <v>0</v>
      </c>
      <c r="I25" s="71">
        <f>'[2]Statisitcal Data'!I19</f>
        <v>4</v>
      </c>
      <c r="J25" s="50">
        <f>'[2]Statisitcal Data'!J19</f>
        <v>1401039.9479999999</v>
      </c>
      <c r="K25" s="87">
        <f>'[2]Statisitcal Data'!K19</f>
        <v>1</v>
      </c>
      <c r="L25" s="78">
        <f>'[2]Statisitcal Data'!L19</f>
        <v>10094442.708000001</v>
      </c>
      <c r="M25" s="87">
        <f>'[2]Statisitcal Data'!M19</f>
        <v>0</v>
      </c>
      <c r="N25" s="78">
        <f>'[2]Statisitcal Data'!N19</f>
        <v>0</v>
      </c>
      <c r="O25" s="71">
        <f t="shared" si="0"/>
        <v>20</v>
      </c>
      <c r="P25" s="50">
        <f>+D25+F25+H25+J25+N25+L25</f>
        <v>20450758.131999999</v>
      </c>
    </row>
    <row r="26" spans="2:16" ht="12" x14ac:dyDescent="0.2">
      <c r="B26" s="64" t="s">
        <v>26</v>
      </c>
      <c r="C26" s="71">
        <f>'[2]Statisitcal Data'!C20</f>
        <v>9</v>
      </c>
      <c r="D26" s="78">
        <f>'[2]Statisitcal Data'!D20</f>
        <v>3713722.0959999999</v>
      </c>
      <c r="E26" s="71">
        <f>'[2]Statisitcal Data'!E20</f>
        <v>0</v>
      </c>
      <c r="F26" s="50">
        <f>'[2]Statisitcal Data'!F20</f>
        <v>0</v>
      </c>
      <c r="G26" s="87">
        <f>'[2]Statisitcal Data'!G20</f>
        <v>0</v>
      </c>
      <c r="H26" s="78">
        <f>'[2]Statisitcal Data'!H20</f>
        <v>0</v>
      </c>
      <c r="I26" s="71">
        <f>'[2]Statisitcal Data'!I20</f>
        <v>0</v>
      </c>
      <c r="J26" s="50">
        <f>'[2]Statisitcal Data'!J20</f>
        <v>0</v>
      </c>
      <c r="K26" s="87">
        <f>'[2]Statisitcal Data'!K20</f>
        <v>0</v>
      </c>
      <c r="L26" s="78">
        <f>'[2]Statisitcal Data'!L20</f>
        <v>0</v>
      </c>
      <c r="M26" s="87">
        <f>'[2]Statisitcal Data'!M20</f>
        <v>0</v>
      </c>
      <c r="N26" s="78">
        <f>'[2]Statisitcal Data'!N20</f>
        <v>0</v>
      </c>
      <c r="O26" s="71">
        <f t="shared" si="0"/>
        <v>9</v>
      </c>
      <c r="P26" s="50">
        <f>+D26+F26+H26+J26+N26</f>
        <v>3713722.0959999999</v>
      </c>
    </row>
    <row r="27" spans="2:16" ht="12" x14ac:dyDescent="0.2">
      <c r="B27" s="64" t="s">
        <v>27</v>
      </c>
      <c r="C27" s="71">
        <f>'[2]Statisitcal Data'!C21</f>
        <v>13</v>
      </c>
      <c r="D27" s="78">
        <f>'[2]Statisitcal Data'!D21</f>
        <v>6459476.9680000003</v>
      </c>
      <c r="E27" s="71">
        <f>'[2]Statisitcal Data'!E21</f>
        <v>1</v>
      </c>
      <c r="F27" s="50">
        <f>'[2]Statisitcal Data'!F21</f>
        <v>443861.6</v>
      </c>
      <c r="G27" s="87">
        <f>'[2]Statisitcal Data'!G21</f>
        <v>0</v>
      </c>
      <c r="H27" s="78">
        <f>'[2]Statisitcal Data'!H21</f>
        <v>0</v>
      </c>
      <c r="I27" s="71">
        <f>'[2]Statisitcal Data'!I21</f>
        <v>1</v>
      </c>
      <c r="J27" s="50">
        <f>'[2]Statisitcal Data'!J21</f>
        <v>581573.13199999998</v>
      </c>
      <c r="K27" s="87">
        <f>'[2]Statisitcal Data'!K21</f>
        <v>0</v>
      </c>
      <c r="L27" s="78">
        <f>'[2]Statisitcal Data'!L21</f>
        <v>0</v>
      </c>
      <c r="M27" s="87">
        <f>'[2]Statisitcal Data'!M21</f>
        <v>0</v>
      </c>
      <c r="N27" s="78">
        <f>'[2]Statisitcal Data'!N21</f>
        <v>0</v>
      </c>
      <c r="O27" s="71">
        <f t="shared" si="0"/>
        <v>15</v>
      </c>
      <c r="P27" s="50">
        <f>+D27+F27+H27+J27+N27</f>
        <v>7484911.7000000002</v>
      </c>
    </row>
    <row r="28" spans="2:16" s="9" customFormat="1" ht="12" x14ac:dyDescent="0.2">
      <c r="B28" s="51" t="s">
        <v>28</v>
      </c>
      <c r="C28" s="72">
        <f t="shared" ref="C28:J28" si="4">SUM(C25:C27)</f>
        <v>36</v>
      </c>
      <c r="D28" s="79">
        <f t="shared" si="4"/>
        <v>18749522.539999999</v>
      </c>
      <c r="E28" s="72">
        <f t="shared" si="4"/>
        <v>2</v>
      </c>
      <c r="F28" s="52">
        <f t="shared" si="4"/>
        <v>822813.6</v>
      </c>
      <c r="G28" s="88">
        <f t="shared" si="4"/>
        <v>0</v>
      </c>
      <c r="H28" s="79">
        <f t="shared" si="4"/>
        <v>0</v>
      </c>
      <c r="I28" s="72">
        <f t="shared" si="4"/>
        <v>5</v>
      </c>
      <c r="J28" s="52">
        <f t="shared" si="4"/>
        <v>1982613.0799999998</v>
      </c>
      <c r="K28" s="88">
        <f>SUM(K25:K27)</f>
        <v>1</v>
      </c>
      <c r="L28" s="79">
        <f>SUM(L25:L27)</f>
        <v>10094442.708000001</v>
      </c>
      <c r="M28" s="88">
        <f>SUM(M25:M27)</f>
        <v>0</v>
      </c>
      <c r="N28" s="79">
        <f>SUM(N25:N27)</f>
        <v>0</v>
      </c>
      <c r="O28" s="72">
        <f t="shared" si="0"/>
        <v>44</v>
      </c>
      <c r="P28" s="52">
        <f>SUM(P25:P27)</f>
        <v>31649391.927999999</v>
      </c>
    </row>
    <row r="29" spans="2:16" s="9" customFormat="1" ht="12" x14ac:dyDescent="0.2">
      <c r="B29" s="45" t="s">
        <v>35</v>
      </c>
      <c r="C29" s="73">
        <f t="shared" ref="C29:J29" si="5">+C16+C20+C24+C28</f>
        <v>170</v>
      </c>
      <c r="D29" s="80">
        <f t="shared" si="5"/>
        <v>85025283.895999998</v>
      </c>
      <c r="E29" s="73">
        <f t="shared" si="5"/>
        <v>20</v>
      </c>
      <c r="F29" s="53">
        <f t="shared" si="5"/>
        <v>13018293.764</v>
      </c>
      <c r="G29" s="89">
        <f t="shared" si="5"/>
        <v>3</v>
      </c>
      <c r="H29" s="80">
        <f t="shared" si="5"/>
        <v>49935790.099999994</v>
      </c>
      <c r="I29" s="73">
        <f t="shared" si="5"/>
        <v>23</v>
      </c>
      <c r="J29" s="53">
        <f t="shared" si="5"/>
        <v>15004049.143999999</v>
      </c>
      <c r="K29" s="89">
        <f>+K16+K20+K24+K28</f>
        <v>1</v>
      </c>
      <c r="L29" s="80">
        <f>+L16+L20+L24+L28</f>
        <v>10094442.708000001</v>
      </c>
      <c r="M29" s="89">
        <f>+M16+M20+M24+M28</f>
        <v>4</v>
      </c>
      <c r="N29" s="80">
        <f>+N16+N20+N24+N28</f>
        <v>961637.59999999986</v>
      </c>
      <c r="O29" s="73">
        <f t="shared" si="0"/>
        <v>221</v>
      </c>
      <c r="P29" s="53">
        <f>P16+P20+P24+P28</f>
        <v>174039497.21199998</v>
      </c>
    </row>
    <row r="30" spans="2:16" ht="12" x14ac:dyDescent="0.2">
      <c r="B30" s="45"/>
      <c r="C30" s="68"/>
      <c r="D30" s="54"/>
      <c r="E30" s="68"/>
      <c r="F30" s="54"/>
      <c r="G30" s="68"/>
      <c r="H30" s="54"/>
      <c r="I30" s="68"/>
      <c r="J30" s="54"/>
      <c r="K30" s="68"/>
      <c r="L30" s="54"/>
      <c r="M30" s="68"/>
      <c r="N30" s="54"/>
      <c r="O30" s="68"/>
      <c r="P30" s="54"/>
    </row>
    <row r="31" spans="2:16" ht="12.75" x14ac:dyDescent="0.2">
      <c r="B31" s="55">
        <v>2003</v>
      </c>
      <c r="C31" s="69"/>
      <c r="D31" s="81"/>
      <c r="E31" s="69"/>
      <c r="F31" s="56"/>
      <c r="G31" s="90"/>
      <c r="H31" s="81"/>
      <c r="I31" s="69"/>
      <c r="J31" s="56"/>
      <c r="K31" s="90"/>
      <c r="L31" s="81"/>
      <c r="M31" s="90"/>
      <c r="N31" s="81"/>
      <c r="O31" s="69"/>
      <c r="P31" s="56"/>
    </row>
    <row r="32" spans="2:16" ht="12" x14ac:dyDescent="0.2">
      <c r="B32" s="64" t="s">
        <v>14</v>
      </c>
      <c r="C32" s="71">
        <f>+'[3]Statisitcal Data'!G7</f>
        <v>10</v>
      </c>
      <c r="D32" s="78">
        <f>+'[3]Statisitcal Data'!H7</f>
        <v>6118506.4639999997</v>
      </c>
      <c r="E32" s="71">
        <f>+'[3]Statisitcal Data'!I7</f>
        <v>0</v>
      </c>
      <c r="F32" s="50">
        <f>+'[3]Statisitcal Data'!J7</f>
        <v>0</v>
      </c>
      <c r="G32" s="87">
        <f>+'[3]Statisitcal Data'!E7</f>
        <v>0</v>
      </c>
      <c r="H32" s="78">
        <f>+'[3]Statisitcal Data'!F7</f>
        <v>0</v>
      </c>
      <c r="I32" s="71">
        <f>+'[3]Statisitcal Data'!C7</f>
        <v>1</v>
      </c>
      <c r="J32" s="50">
        <f>+'[3]Statisitcal Data'!D7</f>
        <v>337680</v>
      </c>
      <c r="K32" s="87">
        <f>+'[3]Statisitcal Data'!M7</f>
        <v>0</v>
      </c>
      <c r="L32" s="78">
        <f>+'[3]Statisitcal Data'!N7</f>
        <v>0</v>
      </c>
      <c r="M32" s="87">
        <f>+'[3]Statisitcal Data'!K7</f>
        <v>0</v>
      </c>
      <c r="N32" s="78">
        <f>+'[3]Statisitcal Data'!L7</f>
        <v>0</v>
      </c>
      <c r="O32" s="71">
        <f t="shared" ref="O32:O48" si="6">+C32+E32+G32+I32+M32+K32</f>
        <v>11</v>
      </c>
      <c r="P32" s="50">
        <f>+D32+F32+H32+J32+N32</f>
        <v>6456186.4639999997</v>
      </c>
    </row>
    <row r="33" spans="2:16" ht="12" x14ac:dyDescent="0.2">
      <c r="B33" s="64" t="s">
        <v>15</v>
      </c>
      <c r="C33" s="71">
        <f>+'[3]Statisitcal Data'!G8</f>
        <v>14</v>
      </c>
      <c r="D33" s="78">
        <f>+'[3]Statisitcal Data'!H8</f>
        <v>6545559.1040000003</v>
      </c>
      <c r="E33" s="71">
        <f>+'[3]Statisitcal Data'!I8</f>
        <v>1</v>
      </c>
      <c r="F33" s="50">
        <f>+'[3]Statisitcal Data'!J8</f>
        <v>1260859.5999999999</v>
      </c>
      <c r="G33" s="87">
        <f>+'[3]Statisitcal Data'!E8</f>
        <v>0</v>
      </c>
      <c r="H33" s="78">
        <f>+'[3]Statisitcal Data'!F8</f>
        <v>0</v>
      </c>
      <c r="I33" s="71">
        <f>+'[3]Statisitcal Data'!C8</f>
        <v>2</v>
      </c>
      <c r="J33" s="50">
        <f>+'[3]Statisitcal Data'!D8</f>
        <v>513648.79999999993</v>
      </c>
      <c r="K33" s="87">
        <f>+'[3]Statisitcal Data'!M8</f>
        <v>0</v>
      </c>
      <c r="L33" s="78">
        <f>+'[3]Statisitcal Data'!N8</f>
        <v>0</v>
      </c>
      <c r="M33" s="87">
        <f>+'[3]Statisitcal Data'!K8</f>
        <v>0</v>
      </c>
      <c r="N33" s="78">
        <f>+'[3]Statisitcal Data'!L8</f>
        <v>0</v>
      </c>
      <c r="O33" s="71">
        <f t="shared" si="6"/>
        <v>17</v>
      </c>
      <c r="P33" s="50">
        <f>+D33+F33+H33+J33+N33</f>
        <v>8320067.5039999997</v>
      </c>
    </row>
    <row r="34" spans="2:16" ht="12" x14ac:dyDescent="0.2">
      <c r="B34" s="64" t="s">
        <v>16</v>
      </c>
      <c r="C34" s="71">
        <f>+'[3]Statisitcal Data'!G9</f>
        <v>11</v>
      </c>
      <c r="D34" s="78">
        <f>+'[3]Statisitcal Data'!H9</f>
        <v>11900458.527999999</v>
      </c>
      <c r="E34" s="71">
        <f>+'[3]Statisitcal Data'!I9</f>
        <v>2</v>
      </c>
      <c r="F34" s="50">
        <f>+'[3]Statisitcal Data'!J9</f>
        <v>1441477.128</v>
      </c>
      <c r="G34" s="87">
        <f>+'[3]Statisitcal Data'!E9</f>
        <v>0</v>
      </c>
      <c r="H34" s="78">
        <f>+'[3]Statisitcal Data'!F9</f>
        <v>0</v>
      </c>
      <c r="I34" s="71">
        <f>+'[3]Statisitcal Data'!C9</f>
        <v>3</v>
      </c>
      <c r="J34" s="50">
        <f>+'[3]Statisitcal Data'!D9</f>
        <v>2679351.9759999998</v>
      </c>
      <c r="K34" s="87">
        <f>+'[3]Statisitcal Data'!M9</f>
        <v>0</v>
      </c>
      <c r="L34" s="78">
        <f>+'[3]Statisitcal Data'!N9</f>
        <v>0</v>
      </c>
      <c r="M34" s="87">
        <f>+'[3]Statisitcal Data'!K9</f>
        <v>1</v>
      </c>
      <c r="N34" s="78">
        <f>+'[3]Statisitcal Data'!L9</f>
        <v>493763.2</v>
      </c>
      <c r="O34" s="71">
        <f t="shared" si="6"/>
        <v>17</v>
      </c>
      <c r="P34" s="50">
        <f>+D34+F34+H34+J34+N34</f>
        <v>16515050.831999999</v>
      </c>
    </row>
    <row r="35" spans="2:16" ht="12" x14ac:dyDescent="0.2">
      <c r="B35" s="51" t="s">
        <v>17</v>
      </c>
      <c r="C35" s="72">
        <f>SUM(C32:C34)</f>
        <v>35</v>
      </c>
      <c r="D35" s="79">
        <f>SUM(D32:D34)</f>
        <v>24564524.096000001</v>
      </c>
      <c r="E35" s="72">
        <f t="shared" ref="E35:J35" si="7">SUM(E32:E34)</f>
        <v>3</v>
      </c>
      <c r="F35" s="52">
        <f t="shared" si="7"/>
        <v>2702336.7280000001</v>
      </c>
      <c r="G35" s="88">
        <f t="shared" si="7"/>
        <v>0</v>
      </c>
      <c r="H35" s="79">
        <f t="shared" si="7"/>
        <v>0</v>
      </c>
      <c r="I35" s="72">
        <f t="shared" si="7"/>
        <v>6</v>
      </c>
      <c r="J35" s="52">
        <f t="shared" si="7"/>
        <v>3530680.7759999996</v>
      </c>
      <c r="K35" s="88">
        <f>SUM(K32:K34)</f>
        <v>0</v>
      </c>
      <c r="L35" s="79">
        <f>SUM(L32:L34)</f>
        <v>0</v>
      </c>
      <c r="M35" s="88">
        <f>SUM(M32:M34)</f>
        <v>1</v>
      </c>
      <c r="N35" s="79">
        <f>SUM(N32:N34)</f>
        <v>493763.2</v>
      </c>
      <c r="O35" s="72">
        <f t="shared" si="6"/>
        <v>45</v>
      </c>
      <c r="P35" s="52">
        <f>SUM(P32:P34)</f>
        <v>31291304.799999997</v>
      </c>
    </row>
    <row r="36" spans="2:16" ht="12" x14ac:dyDescent="0.2">
      <c r="B36" s="64" t="s">
        <v>18</v>
      </c>
      <c r="C36" s="71">
        <f>+'[3]Statisitcal Data'!G11</f>
        <v>9</v>
      </c>
      <c r="D36" s="78">
        <f>+'[3]Statisitcal Data'!H11</f>
        <v>5419000.4680000003</v>
      </c>
      <c r="E36" s="71">
        <f>+'[3]Statisitcal Data'!I11</f>
        <v>4</v>
      </c>
      <c r="F36" s="50">
        <f>+'[3]Statisitcal Data'!J11</f>
        <v>2739451.5120000001</v>
      </c>
      <c r="G36" s="87">
        <f>+'[3]Statisitcal Data'!E11</f>
        <v>0</v>
      </c>
      <c r="H36" s="78">
        <f>+'[3]Statisitcal Data'!F11</f>
        <v>0</v>
      </c>
      <c r="I36" s="71">
        <f>+'[3]Statisitcal Data'!C11</f>
        <v>0</v>
      </c>
      <c r="J36" s="50">
        <f>+'[3]Statisitcal Data'!D11</f>
        <v>0</v>
      </c>
      <c r="K36" s="87">
        <f>+'[3]Statisitcal Data'!M11</f>
        <v>0</v>
      </c>
      <c r="L36" s="78">
        <f>+'[3]Statisitcal Data'!N11</f>
        <v>0</v>
      </c>
      <c r="M36" s="87">
        <f>+'[3]Statisitcal Data'!K11</f>
        <v>0</v>
      </c>
      <c r="N36" s="78">
        <f>+'[3]Statisitcal Data'!L11</f>
        <v>0</v>
      </c>
      <c r="O36" s="71">
        <f t="shared" si="6"/>
        <v>13</v>
      </c>
      <c r="P36" s="50">
        <f t="shared" ref="P36:P48" si="8">+D36+F36+H36+J36+N36+L36</f>
        <v>8158451.9800000004</v>
      </c>
    </row>
    <row r="37" spans="2:16" ht="12" x14ac:dyDescent="0.2">
      <c r="B37" s="64" t="s">
        <v>19</v>
      </c>
      <c r="C37" s="71">
        <f>+'[3]Statisitcal Data'!G12</f>
        <v>12</v>
      </c>
      <c r="D37" s="78">
        <f>+'[3]Statisitcal Data'!H12</f>
        <v>5880599.648</v>
      </c>
      <c r="E37" s="71">
        <f>+'[3]Statisitcal Data'!I12</f>
        <v>3</v>
      </c>
      <c r="F37" s="50">
        <f>+'[3]Statisitcal Data'!J12</f>
        <v>2251091.1920000003</v>
      </c>
      <c r="G37" s="87">
        <f>+'[3]Statisitcal Data'!E12</f>
        <v>0</v>
      </c>
      <c r="H37" s="78">
        <f>+'[3]Statisitcal Data'!F12</f>
        <v>0</v>
      </c>
      <c r="I37" s="71">
        <f>+'[3]Statisitcal Data'!C12</f>
        <v>3</v>
      </c>
      <c r="J37" s="50">
        <f>+'[3]Statisitcal Data'!D12</f>
        <v>1312074.3999999999</v>
      </c>
      <c r="K37" s="87">
        <f>+'[3]Statisitcal Data'!M12</f>
        <v>0</v>
      </c>
      <c r="L37" s="78">
        <f>+'[3]Statisitcal Data'!N12</f>
        <v>0</v>
      </c>
      <c r="M37" s="87">
        <f>+'[3]Statisitcal Data'!K12</f>
        <v>0</v>
      </c>
      <c r="N37" s="78">
        <f>+'[3]Statisitcal Data'!L12</f>
        <v>0</v>
      </c>
      <c r="O37" s="71">
        <f t="shared" si="6"/>
        <v>18</v>
      </c>
      <c r="P37" s="50">
        <f t="shared" si="8"/>
        <v>9443765.2400000002</v>
      </c>
    </row>
    <row r="38" spans="2:16" ht="12" x14ac:dyDescent="0.2">
      <c r="B38" s="64" t="s">
        <v>20</v>
      </c>
      <c r="C38" s="71">
        <f>+'[3]Statisitcal Data'!G13</f>
        <v>15</v>
      </c>
      <c r="D38" s="78">
        <f>+'[3]Statisitcal Data'!H13</f>
        <v>8338716.8200000003</v>
      </c>
      <c r="E38" s="71">
        <f>+'[3]Statisitcal Data'!I13</f>
        <v>3</v>
      </c>
      <c r="F38" s="50">
        <f>+'[3]Statisitcal Data'!J13</f>
        <v>1454999.3360000001</v>
      </c>
      <c r="G38" s="87">
        <f>+'[3]Statisitcal Data'!E13</f>
        <v>0</v>
      </c>
      <c r="H38" s="78">
        <f>+'[3]Statisitcal Data'!F13</f>
        <v>0</v>
      </c>
      <c r="I38" s="71">
        <f>+'[3]Statisitcal Data'!C13</f>
        <v>1</v>
      </c>
      <c r="J38" s="50">
        <f>+'[3]Statisitcal Data'!D13</f>
        <v>839622.56</v>
      </c>
      <c r="K38" s="87">
        <f>+'[3]Statisitcal Data'!M13</f>
        <v>0</v>
      </c>
      <c r="L38" s="78">
        <f>+'[3]Statisitcal Data'!N13</f>
        <v>0</v>
      </c>
      <c r="M38" s="87">
        <f>+'[3]Statisitcal Data'!K13</f>
        <v>0</v>
      </c>
      <c r="N38" s="78">
        <f>+'[3]Statisitcal Data'!L13</f>
        <v>0</v>
      </c>
      <c r="O38" s="71">
        <f t="shared" si="6"/>
        <v>19</v>
      </c>
      <c r="P38" s="50">
        <f t="shared" si="8"/>
        <v>10633338.716</v>
      </c>
    </row>
    <row r="39" spans="2:16" ht="12" x14ac:dyDescent="0.2">
      <c r="B39" s="51" t="s">
        <v>21</v>
      </c>
      <c r="C39" s="72">
        <f t="shared" ref="C39:J39" si="9">SUM(C36:C38)</f>
        <v>36</v>
      </c>
      <c r="D39" s="79">
        <f t="shared" si="9"/>
        <v>19638316.936000001</v>
      </c>
      <c r="E39" s="72">
        <f t="shared" si="9"/>
        <v>10</v>
      </c>
      <c r="F39" s="52">
        <f t="shared" si="9"/>
        <v>6445542.04</v>
      </c>
      <c r="G39" s="88">
        <f t="shared" si="9"/>
        <v>0</v>
      </c>
      <c r="H39" s="79">
        <f t="shared" si="9"/>
        <v>0</v>
      </c>
      <c r="I39" s="72">
        <f t="shared" si="9"/>
        <v>4</v>
      </c>
      <c r="J39" s="52">
        <f t="shared" si="9"/>
        <v>2151696.96</v>
      </c>
      <c r="K39" s="88">
        <f>SUM(K36:K38)</f>
        <v>0</v>
      </c>
      <c r="L39" s="79">
        <f>SUM(L36:L38)</f>
        <v>0</v>
      </c>
      <c r="M39" s="88">
        <f>SUM(M36:M38)</f>
        <v>0</v>
      </c>
      <c r="N39" s="79">
        <f>SUM(N36:N38)</f>
        <v>0</v>
      </c>
      <c r="O39" s="72">
        <f t="shared" si="6"/>
        <v>50</v>
      </c>
      <c r="P39" s="52">
        <f t="shared" si="8"/>
        <v>28235555.936000001</v>
      </c>
    </row>
    <row r="40" spans="2:16" ht="12" x14ac:dyDescent="0.2">
      <c r="B40" s="64" t="s">
        <v>22</v>
      </c>
      <c r="C40" s="71">
        <f>+'[3]Statisitcal Data'!G15</f>
        <v>16</v>
      </c>
      <c r="D40" s="78">
        <f>+'[3]Statisitcal Data'!H15</f>
        <v>7165912.9079999998</v>
      </c>
      <c r="E40" s="71">
        <f>+'[3]Statisitcal Data'!I15</f>
        <v>6</v>
      </c>
      <c r="F40" s="50">
        <f>+'[3]Statisitcal Data'!J15</f>
        <v>3742860.128</v>
      </c>
      <c r="G40" s="87">
        <f>+'[3]Statisitcal Data'!E15</f>
        <v>1</v>
      </c>
      <c r="H40" s="78">
        <f>+'[3]Statisitcal Data'!F15</f>
        <v>736945.32799999998</v>
      </c>
      <c r="I40" s="71">
        <f>+'[3]Statisitcal Data'!C15</f>
        <v>2</v>
      </c>
      <c r="J40" s="50">
        <f>+'[3]Statisitcal Data'!D15</f>
        <v>677614.95200000005</v>
      </c>
      <c r="K40" s="87">
        <f>+'[3]Statisitcal Data'!M15</f>
        <v>0</v>
      </c>
      <c r="L40" s="78">
        <f>+'[3]Statisitcal Data'!N15</f>
        <v>0</v>
      </c>
      <c r="M40" s="87">
        <f>+'[3]Statisitcal Data'!K15</f>
        <v>0</v>
      </c>
      <c r="N40" s="78">
        <f>+'[3]Statisitcal Data'!L15</f>
        <v>0</v>
      </c>
      <c r="O40" s="71">
        <f t="shared" si="6"/>
        <v>25</v>
      </c>
      <c r="P40" s="50">
        <f t="shared" si="8"/>
        <v>12323333.316</v>
      </c>
    </row>
    <row r="41" spans="2:16" ht="12" x14ac:dyDescent="0.2">
      <c r="B41" s="64" t="s">
        <v>23</v>
      </c>
      <c r="C41" s="71">
        <f>+'[3]Statisitcal Data'!G16</f>
        <v>4</v>
      </c>
      <c r="D41" s="78">
        <f>+'[3]Statisitcal Data'!H16</f>
        <v>2363863.1800000002</v>
      </c>
      <c r="E41" s="71">
        <f>+'[3]Statisitcal Data'!I16</f>
        <v>7</v>
      </c>
      <c r="F41" s="50">
        <f>+'[3]Statisitcal Data'!J16</f>
        <v>2455477.64</v>
      </c>
      <c r="G41" s="87">
        <f>+'[3]Statisitcal Data'!E16</f>
        <v>0</v>
      </c>
      <c r="H41" s="78">
        <f>+'[3]Statisitcal Data'!F16</f>
        <v>0</v>
      </c>
      <c r="I41" s="71">
        <f>+'[3]Statisitcal Data'!C16</f>
        <v>1</v>
      </c>
      <c r="J41" s="50">
        <f>+'[3]Statisitcal Data'!D16</f>
        <v>51027.199999999997</v>
      </c>
      <c r="K41" s="87">
        <f>+'[3]Statisitcal Data'!M16</f>
        <v>0</v>
      </c>
      <c r="L41" s="78">
        <f>+'[3]Statisitcal Data'!N16</f>
        <v>0</v>
      </c>
      <c r="M41" s="87">
        <f>+'[3]Statisitcal Data'!K16</f>
        <v>0</v>
      </c>
      <c r="N41" s="78">
        <f>+'[3]Statisitcal Data'!L16</f>
        <v>0</v>
      </c>
      <c r="O41" s="71">
        <f t="shared" si="6"/>
        <v>12</v>
      </c>
      <c r="P41" s="50">
        <f t="shared" si="8"/>
        <v>4870368.0200000005</v>
      </c>
    </row>
    <row r="42" spans="2:16" ht="12" x14ac:dyDescent="0.2">
      <c r="B42" s="64" t="s">
        <v>36</v>
      </c>
      <c r="C42" s="71">
        <f>+'[3]Statisitcal Data'!G17</f>
        <v>18</v>
      </c>
      <c r="D42" s="78">
        <f>+'[3]Statisitcal Data'!H17</f>
        <v>7807124.0800000001</v>
      </c>
      <c r="E42" s="71">
        <f>+'[3]Statisitcal Data'!I17</f>
        <v>3</v>
      </c>
      <c r="F42" s="50">
        <f>+'[3]Statisitcal Data'!J17</f>
        <v>3183217.4360000002</v>
      </c>
      <c r="G42" s="87">
        <f>+'[3]Statisitcal Data'!E17</f>
        <v>7</v>
      </c>
      <c r="H42" s="78">
        <f>+'[3]Statisitcal Data'!F17</f>
        <v>12603489.527999999</v>
      </c>
      <c r="I42" s="71">
        <f>+'[3]Statisitcal Data'!C17</f>
        <v>4</v>
      </c>
      <c r="J42" s="50">
        <f>+'[3]Statisitcal Data'!D17</f>
        <v>1897665.9239999999</v>
      </c>
      <c r="K42" s="87">
        <f>+'[3]Statisitcal Data'!M17</f>
        <v>0</v>
      </c>
      <c r="L42" s="78">
        <f>+'[3]Statisitcal Data'!N17</f>
        <v>0</v>
      </c>
      <c r="M42" s="87">
        <f>+'[3]Statisitcal Data'!K17</f>
        <v>0</v>
      </c>
      <c r="N42" s="78">
        <f>+'[3]Statisitcal Data'!L17</f>
        <v>0</v>
      </c>
      <c r="O42" s="71">
        <f t="shared" si="6"/>
        <v>32</v>
      </c>
      <c r="P42" s="50">
        <f t="shared" si="8"/>
        <v>25491496.967999998</v>
      </c>
    </row>
    <row r="43" spans="2:16" ht="12" x14ac:dyDescent="0.2">
      <c r="B43" s="51" t="s">
        <v>24</v>
      </c>
      <c r="C43" s="72">
        <f t="shared" ref="C43:J43" si="10">SUM(C40:C42)</f>
        <v>38</v>
      </c>
      <c r="D43" s="79">
        <f t="shared" si="10"/>
        <v>17336900.167999998</v>
      </c>
      <c r="E43" s="72">
        <f t="shared" si="10"/>
        <v>16</v>
      </c>
      <c r="F43" s="52">
        <f t="shared" si="10"/>
        <v>9381555.2039999999</v>
      </c>
      <c r="G43" s="88">
        <f t="shared" si="10"/>
        <v>8</v>
      </c>
      <c r="H43" s="79">
        <f t="shared" si="10"/>
        <v>13340434.855999999</v>
      </c>
      <c r="I43" s="72">
        <f t="shared" si="10"/>
        <v>7</v>
      </c>
      <c r="J43" s="52">
        <f t="shared" si="10"/>
        <v>2626308.0759999999</v>
      </c>
      <c r="K43" s="88">
        <f>SUM(K40:K42)</f>
        <v>0</v>
      </c>
      <c r="L43" s="79">
        <f>SUM(L40:L42)</f>
        <v>0</v>
      </c>
      <c r="M43" s="88">
        <f>SUM(M40:M42)</f>
        <v>0</v>
      </c>
      <c r="N43" s="79">
        <f>SUM(N40:N42)</f>
        <v>0</v>
      </c>
      <c r="O43" s="72">
        <f t="shared" si="6"/>
        <v>69</v>
      </c>
      <c r="P43" s="52">
        <f t="shared" si="8"/>
        <v>42685198.303999998</v>
      </c>
    </row>
    <row r="44" spans="2:16" ht="12" x14ac:dyDescent="0.2">
      <c r="B44" s="64" t="s">
        <v>25</v>
      </c>
      <c r="C44" s="71">
        <f>+'[3]Statisitcal Data'!G19</f>
        <v>13</v>
      </c>
      <c r="D44" s="78">
        <f>+'[3]Statisitcal Data'!H19</f>
        <v>7120209.7960000001</v>
      </c>
      <c r="E44" s="71">
        <f>+'[3]Statisitcal Data'!I19</f>
        <v>0</v>
      </c>
      <c r="F44" s="50">
        <f>+'[3]Statisitcal Data'!J19</f>
        <v>0</v>
      </c>
      <c r="G44" s="87">
        <f>+'[3]Statisitcal Data'!E19</f>
        <v>2</v>
      </c>
      <c r="H44" s="78">
        <f>+'[3]Statisitcal Data'!F19</f>
        <v>447050.8</v>
      </c>
      <c r="I44" s="71">
        <f>+'[3]Statisitcal Data'!C19</f>
        <v>4</v>
      </c>
      <c r="J44" s="50">
        <f>+'[3]Statisitcal Data'!D19</f>
        <v>2749368.048</v>
      </c>
      <c r="K44" s="87">
        <f>+'[3]Statisitcal Data'!M19</f>
        <v>0</v>
      </c>
      <c r="L44" s="78">
        <f>+'[3]Statisitcal Data'!N19</f>
        <v>0</v>
      </c>
      <c r="M44" s="87">
        <f>+'[3]Statisitcal Data'!K19</f>
        <v>1</v>
      </c>
      <c r="N44" s="78">
        <f>+'[3]Statisitcal Data'!L19</f>
        <v>427540.39999999997</v>
      </c>
      <c r="O44" s="71">
        <f t="shared" si="6"/>
        <v>20</v>
      </c>
      <c r="P44" s="50">
        <f t="shared" si="8"/>
        <v>10744169.044</v>
      </c>
    </row>
    <row r="45" spans="2:16" ht="12" x14ac:dyDescent="0.2">
      <c r="B45" s="64" t="s">
        <v>26</v>
      </c>
      <c r="C45" s="71">
        <f>+'[3]Statisitcal Data'!G20</f>
        <v>13</v>
      </c>
      <c r="D45" s="78">
        <f>+'[3]Statisitcal Data'!H20</f>
        <v>6797040.6560000004</v>
      </c>
      <c r="E45" s="71">
        <f>+'[3]Statisitcal Data'!I20</f>
        <v>0</v>
      </c>
      <c r="F45" s="50">
        <f>+'[3]Statisitcal Data'!J20</f>
        <v>0</v>
      </c>
      <c r="G45" s="87">
        <f>+'[3]Statisitcal Data'!E20</f>
        <v>0</v>
      </c>
      <c r="H45" s="78">
        <f>+'[3]Statisitcal Data'!F20</f>
        <v>0</v>
      </c>
      <c r="I45" s="71">
        <f>+'[3]Statisitcal Data'!C20</f>
        <v>0</v>
      </c>
      <c r="J45" s="50">
        <f>+'[3]Statisitcal Data'!D20</f>
        <v>0</v>
      </c>
      <c r="K45" s="87">
        <f>+'[3]Statisitcal Data'!M20</f>
        <v>0</v>
      </c>
      <c r="L45" s="78">
        <f>+'[3]Statisitcal Data'!N20</f>
        <v>0</v>
      </c>
      <c r="M45" s="87">
        <f>+'[3]Statisitcal Data'!K20</f>
        <v>0</v>
      </c>
      <c r="N45" s="78">
        <f>+'[3]Statisitcal Data'!L20</f>
        <v>0</v>
      </c>
      <c r="O45" s="71">
        <f t="shared" si="6"/>
        <v>13</v>
      </c>
      <c r="P45" s="50">
        <f t="shared" si="8"/>
        <v>6797040.6560000004</v>
      </c>
    </row>
    <row r="46" spans="2:16" ht="12" x14ac:dyDescent="0.2">
      <c r="B46" s="64" t="s">
        <v>27</v>
      </c>
      <c r="C46" s="71">
        <f>+'[3]Statisitcal Data'!G21</f>
        <v>4</v>
      </c>
      <c r="D46" s="78">
        <f>+'[3]Statisitcal Data'!H21</f>
        <v>4683240.7719999999</v>
      </c>
      <c r="E46" s="71">
        <f>+'[3]Statisitcal Data'!I21</f>
        <v>0</v>
      </c>
      <c r="F46" s="50">
        <f>+'[3]Statisitcal Data'!J21</f>
        <v>0</v>
      </c>
      <c r="G46" s="87">
        <f>+'[3]Statisitcal Data'!E21</f>
        <v>0</v>
      </c>
      <c r="H46" s="78">
        <f>+'[3]Statisitcal Data'!F21</f>
        <v>0</v>
      </c>
      <c r="I46" s="71">
        <f>+'[3]Statisitcal Data'!C21</f>
        <v>0</v>
      </c>
      <c r="J46" s="50">
        <f>+'[3]Statisitcal Data'!D21</f>
        <v>0</v>
      </c>
      <c r="K46" s="87">
        <f>+'[3]Statisitcal Data'!M21</f>
        <v>0</v>
      </c>
      <c r="L46" s="78">
        <f>+'[3]Statisitcal Data'!N21</f>
        <v>0</v>
      </c>
      <c r="M46" s="87">
        <f>+'[3]Statisitcal Data'!K21</f>
        <v>0</v>
      </c>
      <c r="N46" s="78">
        <f>+'[3]Statisitcal Data'!L21</f>
        <v>0</v>
      </c>
      <c r="O46" s="71">
        <f t="shared" si="6"/>
        <v>4</v>
      </c>
      <c r="P46" s="50">
        <f t="shared" si="8"/>
        <v>4683240.7719999999</v>
      </c>
    </row>
    <row r="47" spans="2:16" s="9" customFormat="1" ht="12" x14ac:dyDescent="0.2">
      <c r="B47" s="51" t="s">
        <v>28</v>
      </c>
      <c r="C47" s="72">
        <f t="shared" ref="C47:J47" si="11">SUM(C44:C46)</f>
        <v>30</v>
      </c>
      <c r="D47" s="79">
        <f t="shared" si="11"/>
        <v>18600491.223999999</v>
      </c>
      <c r="E47" s="72">
        <f t="shared" si="11"/>
        <v>0</v>
      </c>
      <c r="F47" s="52">
        <f t="shared" si="11"/>
        <v>0</v>
      </c>
      <c r="G47" s="88">
        <f t="shared" si="11"/>
        <v>2</v>
      </c>
      <c r="H47" s="79">
        <f t="shared" si="11"/>
        <v>447050.8</v>
      </c>
      <c r="I47" s="72">
        <f t="shared" si="11"/>
        <v>4</v>
      </c>
      <c r="J47" s="52">
        <f t="shared" si="11"/>
        <v>2749368.048</v>
      </c>
      <c r="K47" s="88">
        <f>SUM(K44:K46)</f>
        <v>0</v>
      </c>
      <c r="L47" s="79">
        <f>SUM(L44:L46)</f>
        <v>0</v>
      </c>
      <c r="M47" s="88">
        <f>SUM(M44:M46)</f>
        <v>1</v>
      </c>
      <c r="N47" s="79">
        <f>SUM(N44:N46)</f>
        <v>427540.39999999997</v>
      </c>
      <c r="O47" s="72">
        <f t="shared" si="6"/>
        <v>37</v>
      </c>
      <c r="P47" s="52">
        <f t="shared" si="8"/>
        <v>22224450.471999999</v>
      </c>
    </row>
    <row r="48" spans="2:16" s="9" customFormat="1" ht="12" x14ac:dyDescent="0.2">
      <c r="B48" s="45" t="s">
        <v>35</v>
      </c>
      <c r="C48" s="73">
        <f t="shared" ref="C48:J48" si="12">+C35+C39+C43+C47</f>
        <v>139</v>
      </c>
      <c r="D48" s="80">
        <f t="shared" si="12"/>
        <v>80140232.423999995</v>
      </c>
      <c r="E48" s="73">
        <f t="shared" si="12"/>
        <v>29</v>
      </c>
      <c r="F48" s="53">
        <f t="shared" si="12"/>
        <v>18529433.971999999</v>
      </c>
      <c r="G48" s="89">
        <f t="shared" si="12"/>
        <v>10</v>
      </c>
      <c r="H48" s="80">
        <f t="shared" si="12"/>
        <v>13787485.655999999</v>
      </c>
      <c r="I48" s="73">
        <f t="shared" si="12"/>
        <v>21</v>
      </c>
      <c r="J48" s="53">
        <f t="shared" si="12"/>
        <v>11058053.859999999</v>
      </c>
      <c r="K48" s="89">
        <f>+K35+K39+K43+K47</f>
        <v>0</v>
      </c>
      <c r="L48" s="80">
        <f>+L35+L39+L43+L47</f>
        <v>0</v>
      </c>
      <c r="M48" s="89">
        <f>+M35+M39+M43+M47</f>
        <v>2</v>
      </c>
      <c r="N48" s="80">
        <f>+N35+N39+N43+N47</f>
        <v>921303.6</v>
      </c>
      <c r="O48" s="73">
        <f t="shared" si="6"/>
        <v>201</v>
      </c>
      <c r="P48" s="53">
        <f t="shared" si="8"/>
        <v>124436509.51199999</v>
      </c>
    </row>
    <row r="49" spans="2:16" s="9" customFormat="1" x14ac:dyDescent="0.2">
      <c r="B49" s="54"/>
      <c r="C49" s="54"/>
      <c r="D49" s="54"/>
      <c r="E49" s="54"/>
      <c r="F49" s="54"/>
      <c r="G49" s="68"/>
      <c r="H49" s="54"/>
      <c r="I49" s="68"/>
      <c r="J49" s="54"/>
      <c r="K49" s="68"/>
      <c r="L49" s="54"/>
      <c r="M49" s="68"/>
      <c r="N49" s="54"/>
      <c r="O49" s="68"/>
      <c r="P49" s="54"/>
    </row>
    <row r="50" spans="2:16" ht="12" x14ac:dyDescent="0.2">
      <c r="B50" s="57" t="s">
        <v>62</v>
      </c>
      <c r="C50" s="70"/>
      <c r="D50" s="82"/>
      <c r="E50" s="70"/>
      <c r="F50" s="74"/>
      <c r="G50" s="91"/>
      <c r="H50" s="82"/>
      <c r="I50" s="70"/>
      <c r="J50" s="74"/>
      <c r="K50" s="91"/>
      <c r="L50" s="82"/>
      <c r="M50" s="91"/>
      <c r="N50" s="82"/>
      <c r="O50" s="70"/>
      <c r="P50" s="74"/>
    </row>
    <row r="51" spans="2:16" ht="12" x14ac:dyDescent="0.2">
      <c r="B51" s="64" t="s">
        <v>14</v>
      </c>
      <c r="C51" s="50">
        <f t="shared" ref="C51:D53" si="13">+IF(C13=0,0,((C32-C13)/C13*100))</f>
        <v>-44.444444444444443</v>
      </c>
      <c r="D51" s="78">
        <f t="shared" si="13"/>
        <v>-31.695787291443672</v>
      </c>
      <c r="E51" s="50">
        <f t="shared" ref="E51:P51" si="14">+IF(E13=0,0,((E32-E13)/E13*100))</f>
        <v>-100</v>
      </c>
      <c r="F51" s="50">
        <f t="shared" si="14"/>
        <v>-100</v>
      </c>
      <c r="G51" s="92">
        <f t="shared" si="14"/>
        <v>0</v>
      </c>
      <c r="H51" s="78">
        <f t="shared" si="14"/>
        <v>0</v>
      </c>
      <c r="I51" s="50">
        <f t="shared" si="14"/>
        <v>-66.666666666666657</v>
      </c>
      <c r="J51" s="50">
        <f t="shared" si="14"/>
        <v>-81.642637218737164</v>
      </c>
      <c r="K51" s="92">
        <f t="shared" ref="K51:N67" si="15">+IF(K13=0,0,((K32-K13)/K13*100))</f>
        <v>0</v>
      </c>
      <c r="L51" s="78">
        <f t="shared" si="15"/>
        <v>0</v>
      </c>
      <c r="M51" s="92">
        <f t="shared" si="15"/>
        <v>0</v>
      </c>
      <c r="N51" s="78">
        <f t="shared" si="15"/>
        <v>0</v>
      </c>
      <c r="O51" s="50">
        <f t="shared" si="14"/>
        <v>-50</v>
      </c>
      <c r="P51" s="50">
        <f t="shared" si="14"/>
        <v>-42.479695111617133</v>
      </c>
    </row>
    <row r="52" spans="2:16" ht="12" x14ac:dyDescent="0.2">
      <c r="B52" s="64" t="s">
        <v>15</v>
      </c>
      <c r="C52" s="50">
        <f t="shared" si="13"/>
        <v>7.6923076923076925</v>
      </c>
      <c r="D52" s="78">
        <f t="shared" si="13"/>
        <v>62.300212486463771</v>
      </c>
      <c r="E52" s="50">
        <f t="shared" ref="C52:P67" si="16">+IF(E14=0,0,((E33-E14)/E14*100))</f>
        <v>0</v>
      </c>
      <c r="F52" s="50">
        <f t="shared" si="16"/>
        <v>289.24635280626865</v>
      </c>
      <c r="G52" s="92">
        <f t="shared" si="16"/>
        <v>0</v>
      </c>
      <c r="H52" s="78">
        <f t="shared" si="16"/>
        <v>0</v>
      </c>
      <c r="I52" s="50">
        <f t="shared" si="16"/>
        <v>100</v>
      </c>
      <c r="J52" s="50">
        <f t="shared" si="16"/>
        <v>144.13731609451622</v>
      </c>
      <c r="K52" s="92">
        <f t="shared" si="15"/>
        <v>0</v>
      </c>
      <c r="L52" s="78">
        <f t="shared" si="15"/>
        <v>0</v>
      </c>
      <c r="M52" s="92">
        <f t="shared" si="15"/>
        <v>0</v>
      </c>
      <c r="N52" s="78">
        <f t="shared" si="15"/>
        <v>0</v>
      </c>
      <c r="O52" s="50">
        <f t="shared" si="16"/>
        <v>13.333333333333334</v>
      </c>
      <c r="P52" s="50">
        <f t="shared" si="16"/>
        <v>82.16553759733111</v>
      </c>
    </row>
    <row r="53" spans="2:16" ht="12" x14ac:dyDescent="0.2">
      <c r="B53" s="64" t="s">
        <v>16</v>
      </c>
      <c r="C53" s="50">
        <f t="shared" si="13"/>
        <v>-15.384615384615385</v>
      </c>
      <c r="D53" s="78">
        <f t="shared" si="13"/>
        <v>44.502000490213497</v>
      </c>
      <c r="E53" s="50">
        <f t="shared" si="16"/>
        <v>0</v>
      </c>
      <c r="F53" s="50">
        <f t="shared" si="16"/>
        <v>-9.2716967764789153</v>
      </c>
      <c r="G53" s="92">
        <f t="shared" si="16"/>
        <v>-100</v>
      </c>
      <c r="H53" s="78">
        <f t="shared" si="16"/>
        <v>-100</v>
      </c>
      <c r="I53" s="50">
        <f t="shared" si="16"/>
        <v>0</v>
      </c>
      <c r="J53" s="50">
        <f t="shared" si="16"/>
        <v>0</v>
      </c>
      <c r="K53" s="92">
        <f t="shared" si="15"/>
        <v>0</v>
      </c>
      <c r="L53" s="78">
        <f t="shared" si="15"/>
        <v>0</v>
      </c>
      <c r="M53" s="92">
        <f t="shared" si="15"/>
        <v>0</v>
      </c>
      <c r="N53" s="78">
        <f t="shared" si="15"/>
        <v>647.72727272727275</v>
      </c>
      <c r="O53" s="50">
        <f t="shared" si="16"/>
        <v>0</v>
      </c>
      <c r="P53" s="50">
        <f t="shared" si="16"/>
        <v>10.935736568876866</v>
      </c>
    </row>
    <row r="54" spans="2:16" s="9" customFormat="1" ht="12" x14ac:dyDescent="0.2">
      <c r="B54" s="51" t="s">
        <v>17</v>
      </c>
      <c r="C54" s="67">
        <f t="shared" si="16"/>
        <v>-20.454545454545457</v>
      </c>
      <c r="D54" s="83">
        <f t="shared" si="16"/>
        <v>15.727257935465259</v>
      </c>
      <c r="E54" s="67">
        <f t="shared" si="16"/>
        <v>-25</v>
      </c>
      <c r="F54" s="67">
        <f t="shared" si="16"/>
        <v>15.500009220898253</v>
      </c>
      <c r="G54" s="93">
        <f t="shared" si="16"/>
        <v>-100</v>
      </c>
      <c r="H54" s="83">
        <f t="shared" si="16"/>
        <v>-100</v>
      </c>
      <c r="I54" s="67">
        <f t="shared" si="16"/>
        <v>50</v>
      </c>
      <c r="J54" s="67">
        <f t="shared" si="16"/>
        <v>72.238975073282916</v>
      </c>
      <c r="K54" s="93">
        <f t="shared" si="15"/>
        <v>0</v>
      </c>
      <c r="L54" s="83">
        <f t="shared" si="15"/>
        <v>0</v>
      </c>
      <c r="M54" s="93">
        <f t="shared" si="15"/>
        <v>0</v>
      </c>
      <c r="N54" s="83">
        <f t="shared" si="15"/>
        <v>647.72727272727275</v>
      </c>
      <c r="O54" s="67">
        <f t="shared" si="16"/>
        <v>-16.666666666666664</v>
      </c>
      <c r="P54" s="67">
        <f t="shared" si="16"/>
        <v>1.9973684608002886</v>
      </c>
    </row>
    <row r="55" spans="2:16" ht="12" x14ac:dyDescent="0.2">
      <c r="B55" s="64" t="s">
        <v>18</v>
      </c>
      <c r="C55" s="50">
        <f t="shared" si="16"/>
        <v>-52.631578947368418</v>
      </c>
      <c r="D55" s="78">
        <f t="shared" si="16"/>
        <v>-36.078890957440329</v>
      </c>
      <c r="E55" s="50">
        <f t="shared" si="16"/>
        <v>33.333333333333329</v>
      </c>
      <c r="F55" s="50">
        <f t="shared" si="16"/>
        <v>44.604305860473978</v>
      </c>
      <c r="G55" s="92">
        <f t="shared" si="16"/>
        <v>-100</v>
      </c>
      <c r="H55" s="78">
        <f t="shared" si="16"/>
        <v>-100</v>
      </c>
      <c r="I55" s="50">
        <f t="shared" si="16"/>
        <v>-100</v>
      </c>
      <c r="J55" s="50">
        <f t="shared" si="16"/>
        <v>-100</v>
      </c>
      <c r="K55" s="92">
        <f t="shared" si="15"/>
        <v>0</v>
      </c>
      <c r="L55" s="78">
        <f t="shared" si="15"/>
        <v>0</v>
      </c>
      <c r="M55" s="92">
        <f t="shared" si="15"/>
        <v>0</v>
      </c>
      <c r="N55" s="78">
        <f t="shared" si="15"/>
        <v>0</v>
      </c>
      <c r="O55" s="50">
        <f t="shared" si="16"/>
        <v>-48</v>
      </c>
      <c r="P55" s="50">
        <f t="shared" si="16"/>
        <v>-84.426491160369295</v>
      </c>
    </row>
    <row r="56" spans="2:16" ht="12" x14ac:dyDescent="0.2">
      <c r="B56" s="64" t="s">
        <v>19</v>
      </c>
      <c r="C56" s="50">
        <f t="shared" si="16"/>
        <v>-50</v>
      </c>
      <c r="D56" s="78">
        <f t="shared" si="16"/>
        <v>-52.990471665742866</v>
      </c>
      <c r="E56" s="50">
        <f t="shared" si="16"/>
        <v>0</v>
      </c>
      <c r="F56" s="50">
        <f t="shared" si="16"/>
        <v>-3.7320090496285347</v>
      </c>
      <c r="G56" s="92">
        <f t="shared" si="16"/>
        <v>0</v>
      </c>
      <c r="H56" s="78">
        <f t="shared" si="16"/>
        <v>0</v>
      </c>
      <c r="I56" s="50">
        <f t="shared" si="16"/>
        <v>200</v>
      </c>
      <c r="J56" s="50">
        <f t="shared" si="16"/>
        <v>703.18794643882495</v>
      </c>
      <c r="K56" s="92">
        <f t="shared" si="15"/>
        <v>0</v>
      </c>
      <c r="L56" s="78">
        <f t="shared" si="15"/>
        <v>0</v>
      </c>
      <c r="M56" s="92">
        <f t="shared" si="15"/>
        <v>0</v>
      </c>
      <c r="N56" s="78">
        <f t="shared" si="15"/>
        <v>0</v>
      </c>
      <c r="O56" s="50">
        <f t="shared" si="16"/>
        <v>-35.714285714285715</v>
      </c>
      <c r="P56" s="50">
        <f t="shared" si="16"/>
        <v>-37.088100579255531</v>
      </c>
    </row>
    <row r="57" spans="2:16" ht="12" x14ac:dyDescent="0.2">
      <c r="B57" s="64" t="s">
        <v>20</v>
      </c>
      <c r="C57" s="50">
        <f t="shared" si="16"/>
        <v>0</v>
      </c>
      <c r="D57" s="78">
        <f t="shared" si="16"/>
        <v>6.3784290116830942</v>
      </c>
      <c r="E57" s="50">
        <f t="shared" si="16"/>
        <v>50</v>
      </c>
      <c r="F57" s="50">
        <f t="shared" si="16"/>
        <v>4.7003983708777621</v>
      </c>
      <c r="G57" s="92">
        <f t="shared" si="16"/>
        <v>0</v>
      </c>
      <c r="H57" s="78">
        <f t="shared" si="16"/>
        <v>0</v>
      </c>
      <c r="I57" s="50">
        <f t="shared" si="16"/>
        <v>-50</v>
      </c>
      <c r="J57" s="50">
        <f t="shared" si="16"/>
        <v>-9.3701716977196554</v>
      </c>
      <c r="K57" s="92">
        <f t="shared" si="15"/>
        <v>0</v>
      </c>
      <c r="L57" s="78">
        <f t="shared" si="15"/>
        <v>0</v>
      </c>
      <c r="M57" s="92">
        <f t="shared" si="15"/>
        <v>-100</v>
      </c>
      <c r="N57" s="78">
        <f t="shared" si="15"/>
        <v>-100</v>
      </c>
      <c r="O57" s="50">
        <f t="shared" si="16"/>
        <v>-5</v>
      </c>
      <c r="P57" s="50">
        <f t="shared" si="16"/>
        <v>-1.1326651697262431</v>
      </c>
    </row>
    <row r="58" spans="2:16" s="9" customFormat="1" ht="12" x14ac:dyDescent="0.2">
      <c r="B58" s="51" t="s">
        <v>21</v>
      </c>
      <c r="C58" s="67">
        <f t="shared" si="16"/>
        <v>-37.931034482758619</v>
      </c>
      <c r="D58" s="83">
        <f t="shared" si="16"/>
        <v>-31.872301753742917</v>
      </c>
      <c r="E58" s="67">
        <f t="shared" si="16"/>
        <v>25</v>
      </c>
      <c r="F58" s="67">
        <f t="shared" si="16"/>
        <v>14.638679238987551</v>
      </c>
      <c r="G58" s="93">
        <f t="shared" si="16"/>
        <v>-100</v>
      </c>
      <c r="H58" s="83">
        <f t="shared" si="16"/>
        <v>-100</v>
      </c>
      <c r="I58" s="67">
        <f t="shared" si="16"/>
        <v>-20</v>
      </c>
      <c r="J58" s="67">
        <f t="shared" si="16"/>
        <v>37.694077987747562</v>
      </c>
      <c r="K58" s="93">
        <f t="shared" si="15"/>
        <v>0</v>
      </c>
      <c r="L58" s="83">
        <f t="shared" si="15"/>
        <v>0</v>
      </c>
      <c r="M58" s="93">
        <f t="shared" si="15"/>
        <v>-100</v>
      </c>
      <c r="N58" s="83">
        <f t="shared" si="15"/>
        <v>-100</v>
      </c>
      <c r="O58" s="67">
        <f t="shared" si="16"/>
        <v>-31.506849315068493</v>
      </c>
      <c r="P58" s="67">
        <f t="shared" si="16"/>
        <v>-63.87142936596765</v>
      </c>
    </row>
    <row r="59" spans="2:16" ht="12" x14ac:dyDescent="0.2">
      <c r="B59" s="64" t="s">
        <v>22</v>
      </c>
      <c r="C59" s="50">
        <f t="shared" si="16"/>
        <v>33.333333333333329</v>
      </c>
      <c r="D59" s="78">
        <f t="shared" si="16"/>
        <v>31.03405809803894</v>
      </c>
      <c r="E59" s="50">
        <f t="shared" si="16"/>
        <v>200</v>
      </c>
      <c r="F59" s="50">
        <f t="shared" si="16"/>
        <v>254.7417663406334</v>
      </c>
      <c r="G59" s="92">
        <f t="shared" si="16"/>
        <v>0</v>
      </c>
      <c r="H59" s="78">
        <f t="shared" si="16"/>
        <v>0</v>
      </c>
      <c r="I59" s="50">
        <f t="shared" si="16"/>
        <v>0</v>
      </c>
      <c r="J59" s="50">
        <f t="shared" si="16"/>
        <v>-78.886706648429367</v>
      </c>
      <c r="K59" s="92">
        <f t="shared" si="15"/>
        <v>0</v>
      </c>
      <c r="L59" s="78">
        <f t="shared" si="15"/>
        <v>0</v>
      </c>
      <c r="M59" s="92">
        <f t="shared" si="15"/>
        <v>-100</v>
      </c>
      <c r="N59" s="78">
        <f t="shared" si="15"/>
        <v>-100</v>
      </c>
      <c r="O59" s="50">
        <f t="shared" si="16"/>
        <v>47.058823529411761</v>
      </c>
      <c r="P59" s="50">
        <f t="shared" si="16"/>
        <v>24.056883490862496</v>
      </c>
    </row>
    <row r="60" spans="2:16" ht="12" x14ac:dyDescent="0.2">
      <c r="B60" s="64" t="s">
        <v>23</v>
      </c>
      <c r="C60" s="50">
        <f t="shared" si="16"/>
        <v>-33.333333333333329</v>
      </c>
      <c r="D60" s="78">
        <f t="shared" si="16"/>
        <v>-31.712552744331031</v>
      </c>
      <c r="E60" s="50">
        <f t="shared" si="16"/>
        <v>0</v>
      </c>
      <c r="F60" s="50">
        <f t="shared" si="16"/>
        <v>0</v>
      </c>
      <c r="G60" s="92">
        <f t="shared" si="16"/>
        <v>-100</v>
      </c>
      <c r="H60" s="78">
        <f t="shared" si="16"/>
        <v>-100</v>
      </c>
      <c r="I60" s="50">
        <f t="shared" si="16"/>
        <v>-66.666666666666657</v>
      </c>
      <c r="J60" s="50">
        <f t="shared" si="16"/>
        <v>-96.080889292326759</v>
      </c>
      <c r="K60" s="92">
        <f t="shared" si="15"/>
        <v>0</v>
      </c>
      <c r="L60" s="78">
        <f t="shared" si="15"/>
        <v>0</v>
      </c>
      <c r="M60" s="92">
        <f t="shared" si="15"/>
        <v>0</v>
      </c>
      <c r="N60" s="78">
        <f t="shared" si="15"/>
        <v>0</v>
      </c>
      <c r="O60" s="50">
        <f t="shared" si="16"/>
        <v>20</v>
      </c>
      <c r="P60" s="50">
        <f t="shared" si="16"/>
        <v>-40.321002661497836</v>
      </c>
    </row>
    <row r="61" spans="2:16" ht="12" x14ac:dyDescent="0.2">
      <c r="B61" s="64" t="s">
        <v>36</v>
      </c>
      <c r="C61" s="50">
        <f t="shared" si="16"/>
        <v>28.571428571428569</v>
      </c>
      <c r="D61" s="78">
        <f t="shared" si="16"/>
        <v>7.0434331022913295</v>
      </c>
      <c r="E61" s="50">
        <f t="shared" si="16"/>
        <v>-25</v>
      </c>
      <c r="F61" s="50">
        <f t="shared" si="16"/>
        <v>0.15736551475818819</v>
      </c>
      <c r="G61" s="92">
        <f t="shared" si="16"/>
        <v>0</v>
      </c>
      <c r="H61" s="78">
        <f t="shared" si="16"/>
        <v>0</v>
      </c>
      <c r="I61" s="50">
        <f t="shared" si="16"/>
        <v>0</v>
      </c>
      <c r="J61" s="50">
        <f t="shared" si="16"/>
        <v>-61.252077596281914</v>
      </c>
      <c r="K61" s="92">
        <f t="shared" si="15"/>
        <v>0</v>
      </c>
      <c r="L61" s="78">
        <f t="shared" si="15"/>
        <v>0</v>
      </c>
      <c r="M61" s="92">
        <f t="shared" si="15"/>
        <v>-100</v>
      </c>
      <c r="N61" s="78">
        <f t="shared" si="15"/>
        <v>-100</v>
      </c>
      <c r="O61" s="50">
        <f t="shared" si="16"/>
        <v>39.130434782608695</v>
      </c>
      <c r="P61" s="50">
        <f t="shared" si="16"/>
        <v>64.843881834017694</v>
      </c>
    </row>
    <row r="62" spans="2:16" s="9" customFormat="1" ht="12" x14ac:dyDescent="0.2">
      <c r="B62" s="51" t="s">
        <v>24</v>
      </c>
      <c r="C62" s="67">
        <f t="shared" si="16"/>
        <v>18.75</v>
      </c>
      <c r="D62" s="83">
        <f t="shared" si="16"/>
        <v>6.8609464438225336</v>
      </c>
      <c r="E62" s="67">
        <f t="shared" si="16"/>
        <v>166.66666666666669</v>
      </c>
      <c r="F62" s="67">
        <f t="shared" si="16"/>
        <v>121.61274540650777</v>
      </c>
      <c r="G62" s="93">
        <f t="shared" si="16"/>
        <v>700</v>
      </c>
      <c r="H62" s="83">
        <f t="shared" si="16"/>
        <v>292.67810649253829</v>
      </c>
      <c r="I62" s="67">
        <f t="shared" si="16"/>
        <v>-22.222222222222221</v>
      </c>
      <c r="J62" s="67">
        <f t="shared" si="16"/>
        <v>-72.086974449117164</v>
      </c>
      <c r="K62" s="93">
        <f t="shared" si="15"/>
        <v>0</v>
      </c>
      <c r="L62" s="83">
        <f t="shared" si="15"/>
        <v>0</v>
      </c>
      <c r="M62" s="93">
        <f t="shared" si="15"/>
        <v>-100</v>
      </c>
      <c r="N62" s="83">
        <f t="shared" si="15"/>
        <v>-100</v>
      </c>
      <c r="O62" s="67">
        <f t="shared" si="16"/>
        <v>38</v>
      </c>
      <c r="P62" s="67">
        <f t="shared" si="16"/>
        <v>27.196079195369922</v>
      </c>
    </row>
    <row r="63" spans="2:16" ht="12" x14ac:dyDescent="0.2">
      <c r="B63" s="64" t="s">
        <v>25</v>
      </c>
      <c r="C63" s="50">
        <f t="shared" si="16"/>
        <v>-7.1428571428571423</v>
      </c>
      <c r="D63" s="78">
        <f t="shared" si="16"/>
        <v>-16.978297099856263</v>
      </c>
      <c r="E63" s="50">
        <f t="shared" si="16"/>
        <v>-100</v>
      </c>
      <c r="F63" s="50">
        <f t="shared" si="16"/>
        <v>-100</v>
      </c>
      <c r="G63" s="92">
        <f t="shared" si="16"/>
        <v>0</v>
      </c>
      <c r="H63" s="78">
        <f t="shared" si="16"/>
        <v>0</v>
      </c>
      <c r="I63" s="50">
        <f t="shared" si="16"/>
        <v>0</v>
      </c>
      <c r="J63" s="50">
        <f t="shared" si="16"/>
        <v>96.237662739363955</v>
      </c>
      <c r="K63" s="92">
        <f t="shared" si="15"/>
        <v>-100</v>
      </c>
      <c r="L63" s="78">
        <f t="shared" si="15"/>
        <v>-100</v>
      </c>
      <c r="M63" s="92">
        <f t="shared" si="15"/>
        <v>0</v>
      </c>
      <c r="N63" s="78">
        <f t="shared" si="15"/>
        <v>0</v>
      </c>
      <c r="O63" s="50">
        <f t="shared" si="16"/>
        <v>0</v>
      </c>
      <c r="P63" s="50">
        <f t="shared" si="16"/>
        <v>-47.46322373649204</v>
      </c>
    </row>
    <row r="64" spans="2:16" ht="12" x14ac:dyDescent="0.2">
      <c r="B64" s="64" t="s">
        <v>26</v>
      </c>
      <c r="C64" s="50">
        <f t="shared" si="16"/>
        <v>44.444444444444443</v>
      </c>
      <c r="D64" s="78">
        <f t="shared" si="16"/>
        <v>83.025021266965609</v>
      </c>
      <c r="E64" s="50">
        <f t="shared" si="16"/>
        <v>0</v>
      </c>
      <c r="F64" s="50">
        <f t="shared" si="16"/>
        <v>0</v>
      </c>
      <c r="G64" s="92">
        <f t="shared" si="16"/>
        <v>0</v>
      </c>
      <c r="H64" s="78">
        <f t="shared" si="16"/>
        <v>0</v>
      </c>
      <c r="I64" s="50">
        <f t="shared" si="16"/>
        <v>0</v>
      </c>
      <c r="J64" s="50">
        <f t="shared" si="16"/>
        <v>0</v>
      </c>
      <c r="K64" s="92">
        <f t="shared" si="15"/>
        <v>0</v>
      </c>
      <c r="L64" s="78">
        <f t="shared" si="15"/>
        <v>0</v>
      </c>
      <c r="M64" s="92">
        <f t="shared" si="15"/>
        <v>0</v>
      </c>
      <c r="N64" s="78">
        <f t="shared" si="15"/>
        <v>0</v>
      </c>
      <c r="O64" s="50">
        <f t="shared" si="16"/>
        <v>44.444444444444443</v>
      </c>
      <c r="P64" s="50">
        <f t="shared" si="16"/>
        <v>83.025021266965609</v>
      </c>
    </row>
    <row r="65" spans="1:18" ht="12" x14ac:dyDescent="0.2">
      <c r="B65" s="64" t="s">
        <v>27</v>
      </c>
      <c r="C65" s="50">
        <f t="shared" si="16"/>
        <v>-69.230769230769226</v>
      </c>
      <c r="D65" s="78">
        <f t="shared" si="16"/>
        <v>-27.498142725787332</v>
      </c>
      <c r="E65" s="50">
        <f t="shared" si="16"/>
        <v>-100</v>
      </c>
      <c r="F65" s="50">
        <f t="shared" si="16"/>
        <v>-100</v>
      </c>
      <c r="G65" s="92">
        <f t="shared" si="16"/>
        <v>0</v>
      </c>
      <c r="H65" s="78">
        <f t="shared" si="16"/>
        <v>0</v>
      </c>
      <c r="I65" s="50">
        <f t="shared" si="16"/>
        <v>-100</v>
      </c>
      <c r="J65" s="50">
        <f t="shared" si="16"/>
        <v>-100</v>
      </c>
      <c r="K65" s="92">
        <f t="shared" si="15"/>
        <v>0</v>
      </c>
      <c r="L65" s="78">
        <f t="shared" si="15"/>
        <v>0</v>
      </c>
      <c r="M65" s="92">
        <f t="shared" si="15"/>
        <v>0</v>
      </c>
      <c r="N65" s="78">
        <f t="shared" si="15"/>
        <v>0</v>
      </c>
      <c r="O65" s="50">
        <f t="shared" si="16"/>
        <v>-73.333333333333329</v>
      </c>
      <c r="P65" s="50">
        <f t="shared" si="16"/>
        <v>-37.430914889750802</v>
      </c>
    </row>
    <row r="66" spans="1:18" s="9" customFormat="1" ht="12" x14ac:dyDescent="0.2">
      <c r="B66" s="51" t="s">
        <v>28</v>
      </c>
      <c r="C66" s="67">
        <f t="shared" si="16"/>
        <v>-16.666666666666664</v>
      </c>
      <c r="D66" s="83">
        <f t="shared" si="16"/>
        <v>-0.79485392591762316</v>
      </c>
      <c r="E66" s="67">
        <f t="shared" si="16"/>
        <v>-100</v>
      </c>
      <c r="F66" s="67">
        <f t="shared" si="16"/>
        <v>-100</v>
      </c>
      <c r="G66" s="93">
        <f t="shared" si="16"/>
        <v>0</v>
      </c>
      <c r="H66" s="83">
        <f t="shared" si="16"/>
        <v>0</v>
      </c>
      <c r="I66" s="67">
        <f t="shared" si="16"/>
        <v>-20</v>
      </c>
      <c r="J66" s="67">
        <f t="shared" si="16"/>
        <v>38.673958914868059</v>
      </c>
      <c r="K66" s="93">
        <f t="shared" si="15"/>
        <v>-100</v>
      </c>
      <c r="L66" s="83">
        <f t="shared" si="15"/>
        <v>-100</v>
      </c>
      <c r="M66" s="93">
        <f t="shared" si="15"/>
        <v>0</v>
      </c>
      <c r="N66" s="83">
        <f t="shared" si="15"/>
        <v>0</v>
      </c>
      <c r="O66" s="67">
        <f t="shared" si="16"/>
        <v>-15.909090909090908</v>
      </c>
      <c r="P66" s="67">
        <f t="shared" si="16"/>
        <v>-29.779218120338736</v>
      </c>
    </row>
    <row r="67" spans="1:18" s="9" customFormat="1" ht="12.75" thickBot="1" x14ac:dyDescent="0.25">
      <c r="B67" s="65" t="s">
        <v>35</v>
      </c>
      <c r="C67" s="66">
        <f t="shared" si="16"/>
        <v>-18.235294117647058</v>
      </c>
      <c r="D67" s="84">
        <f t="shared" si="16"/>
        <v>-5.7454103628459849</v>
      </c>
      <c r="E67" s="66">
        <f t="shared" si="16"/>
        <v>45</v>
      </c>
      <c r="F67" s="66">
        <f t="shared" si="16"/>
        <v>42.333813538915308</v>
      </c>
      <c r="G67" s="94">
        <f t="shared" si="16"/>
        <v>233.33333333333334</v>
      </c>
      <c r="H67" s="84">
        <f t="shared" si="16"/>
        <v>-72.389571430852357</v>
      </c>
      <c r="I67" s="66">
        <f t="shared" si="16"/>
        <v>-8.695652173913043</v>
      </c>
      <c r="J67" s="66">
        <f t="shared" si="16"/>
        <v>-26.299535852813253</v>
      </c>
      <c r="K67" s="94">
        <f t="shared" si="15"/>
        <v>-100</v>
      </c>
      <c r="L67" s="84">
        <f t="shared" si="15"/>
        <v>-100</v>
      </c>
      <c r="M67" s="94">
        <f t="shared" si="15"/>
        <v>-50</v>
      </c>
      <c r="N67" s="84">
        <f t="shared" si="15"/>
        <v>-4.1943035505267154</v>
      </c>
      <c r="O67" s="66">
        <f t="shared" si="16"/>
        <v>-9.0497737556561084</v>
      </c>
      <c r="P67" s="66">
        <f t="shared" si="16"/>
        <v>-28.500994598701862</v>
      </c>
    </row>
    <row r="68" spans="1:18" s="9" customFormat="1" ht="12" x14ac:dyDescent="0.2">
      <c r="B68" s="58"/>
      <c r="C68" s="59"/>
      <c r="D68" s="60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</row>
    <row r="69" spans="1:18" ht="12" x14ac:dyDescent="0.2">
      <c r="B69" s="183" t="s">
        <v>114</v>
      </c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4"/>
      <c r="R69" s="14"/>
    </row>
    <row r="70" spans="1:18" ht="12" x14ac:dyDescent="0.2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 customFormat="1" ht="12.75" x14ac:dyDescent="0.2">
      <c r="A71" s="4"/>
      <c r="B71" s="36" t="s">
        <v>47</v>
      </c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</row>
    <row r="72" spans="1:18" s="23" customFormat="1" ht="15.75" x14ac:dyDescent="0.25">
      <c r="B72" s="38"/>
      <c r="C72" s="38"/>
      <c r="D72" s="38"/>
      <c r="E72" s="38"/>
      <c r="F72" s="38"/>
      <c r="G72" s="38"/>
      <c r="H72" s="2"/>
      <c r="I72" s="2"/>
      <c r="J72" s="2"/>
    </row>
    <row r="73" spans="1:18" s="23" customFormat="1" ht="12.75" x14ac:dyDescent="0.2">
      <c r="A73" s="62"/>
      <c r="B73" s="36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</row>
    <row r="74" spans="1:18" ht="15.75" x14ac:dyDescent="0.25">
      <c r="B74" s="61"/>
    </row>
  </sheetData>
  <mergeCells count="9">
    <mergeCell ref="C9:P9"/>
    <mergeCell ref="B69:P69"/>
    <mergeCell ref="K10:L10"/>
    <mergeCell ref="O10:P10"/>
    <mergeCell ref="I10:J10"/>
    <mergeCell ref="G10:H10"/>
    <mergeCell ref="C10:D10"/>
    <mergeCell ref="E10:F10"/>
    <mergeCell ref="M10:N10"/>
  </mergeCells>
  <pageMargins left="0.75" right="0.75" top="0.66" bottom="0.81" header="0.5" footer="0.5"/>
  <pageSetup scale="7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R74"/>
  <sheetViews>
    <sheetView zoomScaleNormal="100" workbookViewId="0">
      <pane xSplit="2" ySplit="11" topLeftCell="C45" activePane="bottomRight" state="frozen"/>
      <selection pane="topRight" activeCell="C1" sqref="C1"/>
      <selection pane="bottomLeft" activeCell="A12" sqref="A12"/>
      <selection pane="bottomRight" activeCell="B6" sqref="B6"/>
    </sheetView>
  </sheetViews>
  <sheetFormatPr defaultRowHeight="11.25" x14ac:dyDescent="0.2"/>
  <cols>
    <col min="1" max="1" width="1.140625" style="2" customWidth="1"/>
    <col min="2" max="2" width="13.5703125" style="2" customWidth="1"/>
    <col min="3" max="3" width="8.28515625" style="2" bestFit="1" customWidth="1"/>
    <col min="4" max="4" width="14.140625" style="2" customWidth="1"/>
    <col min="5" max="5" width="8.7109375" style="2" bestFit="1" customWidth="1"/>
    <col min="6" max="6" width="13.7109375" style="2" bestFit="1" customWidth="1"/>
    <col min="7" max="7" width="8" style="2" bestFit="1" customWidth="1"/>
    <col min="8" max="8" width="15" style="2" customWidth="1"/>
    <col min="9" max="9" width="8.7109375" style="2" bestFit="1" customWidth="1"/>
    <col min="10" max="10" width="13.28515625" style="2" customWidth="1"/>
    <col min="11" max="11" width="8" style="2" bestFit="1" customWidth="1"/>
    <col min="12" max="12" width="12.7109375" style="2" bestFit="1" customWidth="1"/>
    <col min="13" max="13" width="8" style="2" bestFit="1" customWidth="1"/>
    <col min="14" max="14" width="12.5703125" style="2" bestFit="1" customWidth="1"/>
    <col min="15" max="15" width="7.42578125" style="9" bestFit="1" customWidth="1"/>
    <col min="16" max="16" width="13.7109375" style="9" bestFit="1" customWidth="1"/>
    <col min="17" max="16384" width="9.140625" style="2"/>
  </cols>
  <sheetData>
    <row r="2" spans="2:16" s="23" customFormat="1" ht="12.75" x14ac:dyDescent="0.2">
      <c r="B2" s="24" t="str">
        <f ca="1">MID(CELL("filename",A1),FIND("]",CELL("filename",A1))+1,255)</f>
        <v>Table 2.4.3-B3</v>
      </c>
    </row>
    <row r="3" spans="2:16" s="23" customFormat="1" ht="12.75" x14ac:dyDescent="0.2"/>
    <row r="4" spans="2:16" s="23" customFormat="1" ht="12.75" x14ac:dyDescent="0.2">
      <c r="B4" s="1" t="s">
        <v>6</v>
      </c>
    </row>
    <row r="5" spans="2:16" s="23" customFormat="1" ht="12.75" x14ac:dyDescent="0.2">
      <c r="B5" s="1" t="s">
        <v>12</v>
      </c>
    </row>
    <row r="6" spans="2:16" s="23" customFormat="1" ht="12.75" x14ac:dyDescent="0.2">
      <c r="B6" s="1" t="s">
        <v>100</v>
      </c>
    </row>
    <row r="7" spans="2:16" s="23" customFormat="1" ht="12.75" x14ac:dyDescent="0.2">
      <c r="B7" s="1" t="s">
        <v>67</v>
      </c>
    </row>
    <row r="8" spans="2:16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2:16" ht="12" x14ac:dyDescent="0.2">
      <c r="B9" s="46"/>
      <c r="C9" s="182" t="s">
        <v>13</v>
      </c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</row>
    <row r="10" spans="2:16" ht="29.25" customHeight="1" x14ac:dyDescent="0.2">
      <c r="B10" s="44"/>
      <c r="C10" s="184" t="s">
        <v>32</v>
      </c>
      <c r="D10" s="185"/>
      <c r="E10" s="186" t="s">
        <v>70</v>
      </c>
      <c r="F10" s="186"/>
      <c r="G10" s="184" t="s">
        <v>31</v>
      </c>
      <c r="H10" s="185"/>
      <c r="I10" s="186" t="s">
        <v>30</v>
      </c>
      <c r="J10" s="185"/>
      <c r="K10" s="184" t="s">
        <v>34</v>
      </c>
      <c r="L10" s="185"/>
      <c r="M10" s="184" t="s">
        <v>33</v>
      </c>
      <c r="N10" s="185"/>
      <c r="O10" s="186" t="s">
        <v>35</v>
      </c>
      <c r="P10" s="186"/>
    </row>
    <row r="11" spans="2:16" ht="12" x14ac:dyDescent="0.2">
      <c r="B11" s="45" t="s">
        <v>29</v>
      </c>
      <c r="C11" s="146" t="s">
        <v>2</v>
      </c>
      <c r="D11" s="147" t="s">
        <v>3</v>
      </c>
      <c r="E11" s="148" t="s">
        <v>2</v>
      </c>
      <c r="F11" s="148" t="s">
        <v>3</v>
      </c>
      <c r="G11" s="154" t="s">
        <v>2</v>
      </c>
      <c r="H11" s="153" t="s">
        <v>3</v>
      </c>
      <c r="I11" s="148" t="s">
        <v>2</v>
      </c>
      <c r="J11" s="147" t="s">
        <v>3</v>
      </c>
      <c r="K11" s="146" t="s">
        <v>2</v>
      </c>
      <c r="L11" s="147" t="s">
        <v>3</v>
      </c>
      <c r="M11" s="146" t="s">
        <v>2</v>
      </c>
      <c r="N11" s="147" t="s">
        <v>3</v>
      </c>
      <c r="O11" s="148" t="s">
        <v>2</v>
      </c>
      <c r="P11" s="148" t="s">
        <v>3</v>
      </c>
    </row>
    <row r="12" spans="2:16" ht="12.75" x14ac:dyDescent="0.2">
      <c r="B12" s="48">
        <v>2004</v>
      </c>
      <c r="C12" s="49"/>
      <c r="D12" s="77"/>
      <c r="E12" s="49"/>
      <c r="F12" s="49"/>
      <c r="G12" s="86"/>
      <c r="H12" s="77"/>
      <c r="I12" s="49"/>
      <c r="J12" s="49"/>
      <c r="K12" s="86"/>
      <c r="L12" s="77"/>
      <c r="M12" s="86"/>
      <c r="N12" s="77"/>
      <c r="O12" s="49"/>
      <c r="P12" s="49"/>
    </row>
    <row r="13" spans="2:16" ht="12" x14ac:dyDescent="0.2">
      <c r="B13" s="64" t="s">
        <v>14</v>
      </c>
      <c r="C13" s="71">
        <f>+'[4]Statisitcal Data'!C7</f>
        <v>30</v>
      </c>
      <c r="D13" s="78">
        <f>+'[4]Statisitcal Data'!D7</f>
        <v>35943156.339999996</v>
      </c>
      <c r="E13" s="71">
        <f>+'[4]Statisitcal Data'!E7</f>
        <v>0</v>
      </c>
      <c r="F13" s="50">
        <f>+'[4]Statisitcal Data'!F7</f>
        <v>0</v>
      </c>
      <c r="G13" s="87">
        <f>+'[4]Statisitcal Data'!G7</f>
        <v>0</v>
      </c>
      <c r="H13" s="78">
        <f>+'[4]Statisitcal Data'!H7</f>
        <v>0</v>
      </c>
      <c r="I13" s="71">
        <f>+'[4]Statisitcal Data'!I7</f>
        <v>1</v>
      </c>
      <c r="J13" s="50">
        <f>+'[4]Statisitcal Data'!J7</f>
        <v>1151556.3359999999</v>
      </c>
      <c r="K13" s="87">
        <f>+'[4]Statisitcal Data'!K7</f>
        <v>0</v>
      </c>
      <c r="L13" s="78">
        <f>+'[4]Statisitcal Data'!L7</f>
        <v>0</v>
      </c>
      <c r="M13" s="87">
        <f>+'[4]Statisitcal Data'!M7</f>
        <v>0</v>
      </c>
      <c r="N13" s="78">
        <f>+'[4]Statisitcal Data'!N7</f>
        <v>0</v>
      </c>
      <c r="O13" s="71">
        <f>+C13+E13+G13+I13+K13+M13</f>
        <v>31</v>
      </c>
      <c r="P13" s="50">
        <f>+D13+F13+H13+J13+L13+N13</f>
        <v>37094712.675999999</v>
      </c>
    </row>
    <row r="14" spans="2:16" ht="12" x14ac:dyDescent="0.2">
      <c r="B14" s="64" t="s">
        <v>15</v>
      </c>
      <c r="C14" s="71">
        <f>+'[4]Statisitcal Data'!C8</f>
        <v>8</v>
      </c>
      <c r="D14" s="78">
        <f>+'[4]Statisitcal Data'!D8</f>
        <v>2972379.4239999996</v>
      </c>
      <c r="E14" s="71">
        <f>+'[4]Statisitcal Data'!E8</f>
        <v>2</v>
      </c>
      <c r="F14" s="50">
        <f>+'[4]Statisitcal Data'!F8</f>
        <v>1361038</v>
      </c>
      <c r="G14" s="87">
        <f>+'[4]Statisitcal Data'!G8</f>
        <v>0</v>
      </c>
      <c r="H14" s="78">
        <f>+'[4]Statisitcal Data'!H8</f>
        <v>0</v>
      </c>
      <c r="I14" s="71">
        <f>+'[4]Statisitcal Data'!I8</f>
        <v>0</v>
      </c>
      <c r="J14" s="50">
        <f>+'[4]Statisitcal Data'!J8</f>
        <v>0</v>
      </c>
      <c r="K14" s="87">
        <f>+'[4]Statisitcal Data'!K8</f>
        <v>0</v>
      </c>
      <c r="L14" s="78">
        <f>+'[4]Statisitcal Data'!L8</f>
        <v>0</v>
      </c>
      <c r="M14" s="87">
        <f>+'[4]Statisitcal Data'!M8</f>
        <v>0</v>
      </c>
      <c r="N14" s="78">
        <f>+'[4]Statisitcal Data'!N8</f>
        <v>0</v>
      </c>
      <c r="O14" s="71">
        <f t="shared" ref="O14:O15" si="0">+C14+E14+G14+I14+K14+M14</f>
        <v>10</v>
      </c>
      <c r="P14" s="50">
        <f t="shared" ref="P14:P15" si="1">+D14+F14+H14+J14+L14+N14</f>
        <v>4333417.4239999996</v>
      </c>
    </row>
    <row r="15" spans="2:16" ht="12" x14ac:dyDescent="0.2">
      <c r="B15" s="64" t="s">
        <v>16</v>
      </c>
      <c r="C15" s="71">
        <f>+'[4]Statisitcal Data'!C9</f>
        <v>8</v>
      </c>
      <c r="D15" s="78">
        <f>+'[4]Statisitcal Data'!D9</f>
        <v>3452567.8879999998</v>
      </c>
      <c r="E15" s="71">
        <f>+'[4]Statisitcal Data'!E9</f>
        <v>1</v>
      </c>
      <c r="F15" s="50">
        <f>+'[4]Statisitcal Data'!F9</f>
        <v>667105.6</v>
      </c>
      <c r="G15" s="87">
        <f>+'[4]Statisitcal Data'!G9</f>
        <v>0</v>
      </c>
      <c r="H15" s="78">
        <f>+'[4]Statisitcal Data'!H9</f>
        <v>0</v>
      </c>
      <c r="I15" s="71">
        <f>+'[4]Statisitcal Data'!I9</f>
        <v>1</v>
      </c>
      <c r="J15" s="50">
        <f>+'[4]Statisitcal Data'!J9</f>
        <v>150455.19999999998</v>
      </c>
      <c r="K15" s="87">
        <f>+'[4]Statisitcal Data'!K9</f>
        <v>0</v>
      </c>
      <c r="L15" s="78">
        <f>+'[4]Statisitcal Data'!L9</f>
        <v>0</v>
      </c>
      <c r="M15" s="87">
        <f>+'[4]Statisitcal Data'!M9</f>
        <v>0</v>
      </c>
      <c r="N15" s="78">
        <f>+'[4]Statisitcal Data'!N9</f>
        <v>0</v>
      </c>
      <c r="O15" s="71">
        <f t="shared" si="0"/>
        <v>10</v>
      </c>
      <c r="P15" s="50">
        <f t="shared" si="1"/>
        <v>4270128.6880000001</v>
      </c>
    </row>
    <row r="16" spans="2:16" s="9" customFormat="1" ht="12" x14ac:dyDescent="0.2">
      <c r="B16" s="51" t="s">
        <v>17</v>
      </c>
      <c r="C16" s="72">
        <f t="shared" ref="C16:J16" si="2">SUM(C13:C15)</f>
        <v>46</v>
      </c>
      <c r="D16" s="79">
        <f t="shared" si="2"/>
        <v>42368103.651999995</v>
      </c>
      <c r="E16" s="72">
        <f t="shared" si="2"/>
        <v>3</v>
      </c>
      <c r="F16" s="52">
        <f t="shared" si="2"/>
        <v>2028143.6</v>
      </c>
      <c r="G16" s="88">
        <f t="shared" si="2"/>
        <v>0</v>
      </c>
      <c r="H16" s="79">
        <f t="shared" si="2"/>
        <v>0</v>
      </c>
      <c r="I16" s="72">
        <f t="shared" si="2"/>
        <v>2</v>
      </c>
      <c r="J16" s="52">
        <f t="shared" si="2"/>
        <v>1302011.5359999998</v>
      </c>
      <c r="K16" s="88">
        <f t="shared" ref="K16:P16" si="3">SUM(K13:K15)</f>
        <v>0</v>
      </c>
      <c r="L16" s="79">
        <f t="shared" si="3"/>
        <v>0</v>
      </c>
      <c r="M16" s="88">
        <f t="shared" si="3"/>
        <v>0</v>
      </c>
      <c r="N16" s="79">
        <f t="shared" si="3"/>
        <v>0</v>
      </c>
      <c r="O16" s="72">
        <f t="shared" si="3"/>
        <v>51</v>
      </c>
      <c r="P16" s="52">
        <f t="shared" si="3"/>
        <v>45698258.788000003</v>
      </c>
    </row>
    <row r="17" spans="2:16" ht="12" x14ac:dyDescent="0.2">
      <c r="B17" s="64" t="s">
        <v>18</v>
      </c>
      <c r="C17" s="71">
        <f>+'[4]Statisitcal Data'!C11</f>
        <v>14</v>
      </c>
      <c r="D17" s="78">
        <f>+'[4]Statisitcal Data'!D11</f>
        <v>8063577.0320000006</v>
      </c>
      <c r="E17" s="71">
        <f>+'[4]Statisitcal Data'!E11</f>
        <v>6</v>
      </c>
      <c r="F17" s="50">
        <f>+'[4]Statisitcal Data'!F11</f>
        <v>3059005.5999999996</v>
      </c>
      <c r="G17" s="87">
        <f>+'[4]Statisitcal Data'!G11</f>
        <v>2</v>
      </c>
      <c r="H17" s="78">
        <f>+'[4]Statisitcal Data'!H11</f>
        <v>5687634.2879999997</v>
      </c>
      <c r="I17" s="71">
        <f>+'[4]Statisitcal Data'!I11</f>
        <v>2</v>
      </c>
      <c r="J17" s="50">
        <f>+'[4]Statisitcal Data'!J11</f>
        <v>1358642.348</v>
      </c>
      <c r="K17" s="87">
        <f>+'[4]Statisitcal Data'!K11</f>
        <v>0</v>
      </c>
      <c r="L17" s="78">
        <f>+'[4]Statisitcal Data'!L11</f>
        <v>0</v>
      </c>
      <c r="M17" s="87">
        <f>+'[4]Statisitcal Data'!M11</f>
        <v>2</v>
      </c>
      <c r="N17" s="78">
        <f>+'[4]Statisitcal Data'!N11</f>
        <v>11373116.804</v>
      </c>
      <c r="O17" s="71">
        <f>+C17+E17+G17+I17+K17+M17</f>
        <v>26</v>
      </c>
      <c r="P17" s="50">
        <f>+D17+F17+H17+J17+L17+N17</f>
        <v>29541976.071999997</v>
      </c>
    </row>
    <row r="18" spans="2:16" ht="12" x14ac:dyDescent="0.2">
      <c r="B18" s="64" t="s">
        <v>19</v>
      </c>
      <c r="C18" s="71">
        <f>+'[4]Statisitcal Data'!C12</f>
        <v>17</v>
      </c>
      <c r="D18" s="78">
        <f>+'[4]Statisitcal Data'!D12</f>
        <v>9615529.9240000006</v>
      </c>
      <c r="E18" s="71">
        <f>+'[4]Statisitcal Data'!E12</f>
        <v>4</v>
      </c>
      <c r="F18" s="50">
        <f>+'[4]Statisitcal Data'!F12</f>
        <v>2950011.8760000002</v>
      </c>
      <c r="G18" s="87">
        <f>+'[4]Statisitcal Data'!G12</f>
        <v>0</v>
      </c>
      <c r="H18" s="78">
        <f>+'[4]Statisitcal Data'!H12</f>
        <v>0</v>
      </c>
      <c r="I18" s="71">
        <f>+'[4]Statisitcal Data'!I12</f>
        <v>3</v>
      </c>
      <c r="J18" s="50">
        <f>+'[4]Statisitcal Data'!J12</f>
        <v>4013152.3319999999</v>
      </c>
      <c r="K18" s="87">
        <f>+'[4]Statisitcal Data'!K12</f>
        <v>1</v>
      </c>
      <c r="L18" s="78">
        <f>+'[4]Statisitcal Data'!L12</f>
        <v>1736675.108</v>
      </c>
      <c r="M18" s="87">
        <f>+'[4]Statisitcal Data'!M12</f>
        <v>0</v>
      </c>
      <c r="N18" s="78">
        <f>+'[4]Statisitcal Data'!N12</f>
        <v>0</v>
      </c>
      <c r="O18" s="71">
        <f t="shared" ref="O18:O19" si="4">+C18+E18+G18+I18+K18+M18</f>
        <v>25</v>
      </c>
      <c r="P18" s="50">
        <f t="shared" ref="P18:P19" si="5">+D18+F18+H18+J18+L18+N18</f>
        <v>18315369.240000002</v>
      </c>
    </row>
    <row r="19" spans="2:16" ht="12" x14ac:dyDescent="0.2">
      <c r="B19" s="64" t="s">
        <v>20</v>
      </c>
      <c r="C19" s="71">
        <f>+'[4]Statisitcal Data'!C13</f>
        <v>11</v>
      </c>
      <c r="D19" s="78">
        <f>+'[4]Statisitcal Data'!D13</f>
        <v>5127631.0287999995</v>
      </c>
      <c r="E19" s="71">
        <f>+'[4]Statisitcal Data'!E13</f>
        <v>1</v>
      </c>
      <c r="F19" s="50">
        <f>+'[4]Statisitcal Data'!F13</f>
        <v>1651868.652</v>
      </c>
      <c r="G19" s="87">
        <f>+'[4]Statisitcal Data'!G13</f>
        <v>2</v>
      </c>
      <c r="H19" s="78">
        <f>+'[4]Statisitcal Data'!H13</f>
        <v>38501480.051999994</v>
      </c>
      <c r="I19" s="71">
        <f>+'[4]Statisitcal Data'!I13</f>
        <v>0</v>
      </c>
      <c r="J19" s="50">
        <f>+'[4]Statisitcal Data'!J13</f>
        <v>0</v>
      </c>
      <c r="K19" s="87">
        <f>+'[4]Statisitcal Data'!K13</f>
        <v>0</v>
      </c>
      <c r="L19" s="78">
        <f>+'[4]Statisitcal Data'!L13</f>
        <v>0</v>
      </c>
      <c r="M19" s="87">
        <f>+'[4]Statisitcal Data'!M13</f>
        <v>0</v>
      </c>
      <c r="N19" s="78">
        <f>+'[4]Statisitcal Data'!N13</f>
        <v>0</v>
      </c>
      <c r="O19" s="71">
        <f t="shared" si="4"/>
        <v>14</v>
      </c>
      <c r="P19" s="50">
        <f t="shared" si="5"/>
        <v>45280979.732799992</v>
      </c>
    </row>
    <row r="20" spans="2:16" s="9" customFormat="1" ht="12" x14ac:dyDescent="0.2">
      <c r="B20" s="51" t="s">
        <v>21</v>
      </c>
      <c r="C20" s="72">
        <f t="shared" ref="C20:J20" si="6">SUM(C17:C19)</f>
        <v>42</v>
      </c>
      <c r="D20" s="79">
        <f t="shared" si="6"/>
        <v>22806737.9848</v>
      </c>
      <c r="E20" s="72">
        <f t="shared" si="6"/>
        <v>11</v>
      </c>
      <c r="F20" s="52">
        <f t="shared" si="6"/>
        <v>7660886.1279999996</v>
      </c>
      <c r="G20" s="88">
        <f t="shared" si="6"/>
        <v>4</v>
      </c>
      <c r="H20" s="79">
        <f t="shared" si="6"/>
        <v>44189114.339999996</v>
      </c>
      <c r="I20" s="72">
        <f t="shared" si="6"/>
        <v>5</v>
      </c>
      <c r="J20" s="52">
        <f t="shared" si="6"/>
        <v>5371794.6799999997</v>
      </c>
      <c r="K20" s="88">
        <f t="shared" ref="K20:P20" si="7">SUM(K17:K19)</f>
        <v>1</v>
      </c>
      <c r="L20" s="79">
        <f t="shared" si="7"/>
        <v>1736675.108</v>
      </c>
      <c r="M20" s="88">
        <f t="shared" si="7"/>
        <v>2</v>
      </c>
      <c r="N20" s="79">
        <f t="shared" si="7"/>
        <v>11373116.804</v>
      </c>
      <c r="O20" s="72">
        <f t="shared" si="7"/>
        <v>65</v>
      </c>
      <c r="P20" s="52">
        <f t="shared" si="7"/>
        <v>93138325.044799984</v>
      </c>
    </row>
    <row r="21" spans="2:16" ht="12" x14ac:dyDescent="0.2">
      <c r="B21" s="64" t="s">
        <v>22</v>
      </c>
      <c r="C21" s="71">
        <f>+'[4]Statisitcal Data'!C15</f>
        <v>12</v>
      </c>
      <c r="D21" s="78">
        <f>+'[4]Statisitcal Data'!D15</f>
        <v>11522136.301199999</v>
      </c>
      <c r="E21" s="71">
        <f>+'[4]Statisitcal Data'!E15</f>
        <v>1</v>
      </c>
      <c r="F21" s="50">
        <f>+'[4]Statisitcal Data'!F15</f>
        <v>400150.8</v>
      </c>
      <c r="G21" s="87">
        <f>+'[4]Statisitcal Data'!G15</f>
        <v>2</v>
      </c>
      <c r="H21" s="78">
        <f>+'[4]Statisitcal Data'!H15</f>
        <v>3273886.392</v>
      </c>
      <c r="I21" s="71">
        <f>+'[4]Statisitcal Data'!I15</f>
        <v>0</v>
      </c>
      <c r="J21" s="50">
        <f>+'[4]Statisitcal Data'!J15</f>
        <v>0</v>
      </c>
      <c r="K21" s="87">
        <f>+'[4]Statisitcal Data'!K15</f>
        <v>0</v>
      </c>
      <c r="L21" s="78">
        <f>+'[4]Statisitcal Data'!L15</f>
        <v>0</v>
      </c>
      <c r="M21" s="87">
        <f>+'[4]Statisitcal Data'!M15</f>
        <v>2</v>
      </c>
      <c r="N21" s="78">
        <f>+'[4]Statisitcal Data'!N15</f>
        <v>336655.70399999997</v>
      </c>
      <c r="O21" s="71">
        <f>+C21+E21+G21+I21+K21+M21</f>
        <v>17</v>
      </c>
      <c r="P21" s="50">
        <f>+D21+F21+H21+J21+L21+N21</f>
        <v>15532829.1972</v>
      </c>
    </row>
    <row r="22" spans="2:16" ht="12" x14ac:dyDescent="0.2">
      <c r="B22" s="64" t="s">
        <v>23</v>
      </c>
      <c r="C22" s="71">
        <f>+'[4]Statisitcal Data'!C16</f>
        <v>8</v>
      </c>
      <c r="D22" s="78">
        <f>+'[4]Statisitcal Data'!D16</f>
        <v>5337516.4079999998</v>
      </c>
      <c r="E22" s="71">
        <f>+'[4]Statisitcal Data'!E16</f>
        <v>0</v>
      </c>
      <c r="F22" s="50">
        <f>+'[4]Statisitcal Data'!F16</f>
        <v>0</v>
      </c>
      <c r="G22" s="87">
        <f>+'[4]Statisitcal Data'!G16</f>
        <v>9</v>
      </c>
      <c r="H22" s="78">
        <f>+'[4]Statisitcal Data'!H16</f>
        <v>7117615.2880000006</v>
      </c>
      <c r="I22" s="71">
        <f>+'[4]Statisitcal Data'!I16</f>
        <v>3</v>
      </c>
      <c r="J22" s="50">
        <f>+'[4]Statisitcal Data'!J16</f>
        <v>3199632.4359999998</v>
      </c>
      <c r="K22" s="87">
        <f>+'[4]Statisitcal Data'!K16</f>
        <v>0</v>
      </c>
      <c r="L22" s="78">
        <f>+'[4]Statisitcal Data'!L16</f>
        <v>0</v>
      </c>
      <c r="M22" s="87">
        <f>+'[4]Statisitcal Data'!M16</f>
        <v>1</v>
      </c>
      <c r="N22" s="78">
        <f>+'[4]Statisitcal Data'!N16</f>
        <v>168840</v>
      </c>
      <c r="O22" s="71">
        <f t="shared" ref="O22:O23" si="8">+C22+E22+G22+I22+K22+M22</f>
        <v>21</v>
      </c>
      <c r="P22" s="50">
        <f t="shared" ref="P22:P23" si="9">+D22+F22+H22+J22+L22+N22</f>
        <v>15823604.131999999</v>
      </c>
    </row>
    <row r="23" spans="2:16" ht="12" x14ac:dyDescent="0.2">
      <c r="B23" s="64" t="s">
        <v>36</v>
      </c>
      <c r="C23" s="71">
        <f>+'[4]Statisitcal Data'!C17</f>
        <v>9</v>
      </c>
      <c r="D23" s="78">
        <f>+'[4]Statisitcal Data'!D17</f>
        <v>3975637.96</v>
      </c>
      <c r="E23" s="71">
        <f>+'[4]Statisitcal Data'!E17</f>
        <v>0</v>
      </c>
      <c r="F23" s="50">
        <f>+'[4]Statisitcal Data'!F17</f>
        <v>0</v>
      </c>
      <c r="G23" s="87">
        <f>+'[4]Statisitcal Data'!G17</f>
        <v>4</v>
      </c>
      <c r="H23" s="78">
        <f>+'[4]Statisitcal Data'!H17</f>
        <v>1146502.392</v>
      </c>
      <c r="I23" s="71">
        <f>+'[4]Statisitcal Data'!I17</f>
        <v>1</v>
      </c>
      <c r="J23" s="50">
        <f>+'[4]Statisitcal Data'!J17</f>
        <v>773911.90799999994</v>
      </c>
      <c r="K23" s="87">
        <f>+'[4]Statisitcal Data'!K17</f>
        <v>0</v>
      </c>
      <c r="L23" s="78">
        <f>+'[4]Statisitcal Data'!L17</f>
        <v>0</v>
      </c>
      <c r="M23" s="87">
        <f>+'[4]Statisitcal Data'!M17</f>
        <v>1</v>
      </c>
      <c r="N23" s="78">
        <f>+'[4]Statisitcal Data'!N17</f>
        <v>102242</v>
      </c>
      <c r="O23" s="71">
        <f t="shared" si="8"/>
        <v>15</v>
      </c>
      <c r="P23" s="50">
        <f t="shared" si="9"/>
        <v>5998294.2599999998</v>
      </c>
    </row>
    <row r="24" spans="2:16" s="9" customFormat="1" ht="12" x14ac:dyDescent="0.2">
      <c r="B24" s="51" t="s">
        <v>24</v>
      </c>
      <c r="C24" s="72">
        <f t="shared" ref="C24:J24" si="10">SUM(C21:C23)</f>
        <v>29</v>
      </c>
      <c r="D24" s="79">
        <f t="shared" si="10"/>
        <v>20835290.669199999</v>
      </c>
      <c r="E24" s="72">
        <f t="shared" si="10"/>
        <v>1</v>
      </c>
      <c r="F24" s="52">
        <f t="shared" si="10"/>
        <v>400150.8</v>
      </c>
      <c r="G24" s="88">
        <f t="shared" si="10"/>
        <v>15</v>
      </c>
      <c r="H24" s="79">
        <f t="shared" si="10"/>
        <v>11538004.072000001</v>
      </c>
      <c r="I24" s="72">
        <f t="shared" si="10"/>
        <v>4</v>
      </c>
      <c r="J24" s="52">
        <f t="shared" si="10"/>
        <v>3973544.3439999996</v>
      </c>
      <c r="K24" s="88">
        <f t="shared" ref="K24:P24" si="11">SUM(K21:K23)</f>
        <v>0</v>
      </c>
      <c r="L24" s="79">
        <f t="shared" si="11"/>
        <v>0</v>
      </c>
      <c r="M24" s="88">
        <f t="shared" si="11"/>
        <v>4</v>
      </c>
      <c r="N24" s="79">
        <f t="shared" si="11"/>
        <v>607737.70399999991</v>
      </c>
      <c r="O24" s="72">
        <f t="shared" si="11"/>
        <v>53</v>
      </c>
      <c r="P24" s="52">
        <f t="shared" si="11"/>
        <v>37354727.589199997</v>
      </c>
    </row>
    <row r="25" spans="2:16" ht="12" x14ac:dyDescent="0.2">
      <c r="B25" s="64" t="s">
        <v>25</v>
      </c>
      <c r="C25" s="71">
        <f>+'[4]Statisitcal Data'!C19</f>
        <v>5</v>
      </c>
      <c r="D25" s="78">
        <f>+'[4]Statisitcal Data'!D19</f>
        <v>3579552.4519999996</v>
      </c>
      <c r="E25" s="71">
        <f>+'[4]Statisitcal Data'!E19</f>
        <v>3</v>
      </c>
      <c r="F25" s="50">
        <f>+'[4]Statisitcal Data'!F19</f>
        <v>2430992.088</v>
      </c>
      <c r="G25" s="87">
        <f>+'[4]Statisitcal Data'!G19</f>
        <v>1</v>
      </c>
      <c r="H25" s="78">
        <f>+'[4]Statisitcal Data'!H19</f>
        <v>1514010.7919999999</v>
      </c>
      <c r="I25" s="71">
        <f>+'[4]Statisitcal Data'!I19</f>
        <v>0</v>
      </c>
      <c r="J25" s="50">
        <f>+'[4]Statisitcal Data'!J19</f>
        <v>0</v>
      </c>
      <c r="K25" s="87">
        <f>+'[4]Statisitcal Data'!K19</f>
        <v>0</v>
      </c>
      <c r="L25" s="78">
        <f>+'[4]Statisitcal Data'!L19</f>
        <v>0</v>
      </c>
      <c r="M25" s="87">
        <f>+'[4]Statisitcal Data'!M19</f>
        <v>0</v>
      </c>
      <c r="N25" s="78">
        <f>+'[4]Statisitcal Data'!N19</f>
        <v>0</v>
      </c>
      <c r="O25" s="71">
        <f>+C25+E25+G25+I25+K25+M25</f>
        <v>9</v>
      </c>
      <c r="P25" s="50">
        <f>+D25+F25+H25+J25+L25+N25</f>
        <v>7524555.3319999985</v>
      </c>
    </row>
    <row r="26" spans="2:16" ht="12" x14ac:dyDescent="0.2">
      <c r="B26" s="64" t="s">
        <v>26</v>
      </c>
      <c r="C26" s="71">
        <f>+'[4]Statisitcal Data'!C20</f>
        <v>14</v>
      </c>
      <c r="D26" s="78">
        <f>+'[4]Statisitcal Data'!D20</f>
        <v>9516899.2239999995</v>
      </c>
      <c r="E26" s="71">
        <f>+'[4]Statisitcal Data'!E20</f>
        <v>1</v>
      </c>
      <c r="F26" s="50">
        <f>+'[4]Statisitcal Data'!F20</f>
        <v>800489.2</v>
      </c>
      <c r="G26" s="87">
        <f>+'[4]Statisitcal Data'!G20</f>
        <v>1</v>
      </c>
      <c r="H26" s="78">
        <f>+'[4]Statisitcal Data'!H20</f>
        <v>1844108</v>
      </c>
      <c r="I26" s="71">
        <f>+'[4]Statisitcal Data'!I20</f>
        <v>0</v>
      </c>
      <c r="J26" s="50">
        <f>+'[4]Statisitcal Data'!J20</f>
        <v>0</v>
      </c>
      <c r="K26" s="87">
        <f>+'[4]Statisitcal Data'!K20</f>
        <v>1</v>
      </c>
      <c r="L26" s="78">
        <f>+'[4]Statisitcal Data'!L20</f>
        <v>469624.70799999998</v>
      </c>
      <c r="M26" s="87">
        <f>+'[4]Statisitcal Data'!M20</f>
        <v>0</v>
      </c>
      <c r="N26" s="78">
        <f>+'[4]Statisitcal Data'!N20</f>
        <v>0</v>
      </c>
      <c r="O26" s="71">
        <f t="shared" ref="O26:O27" si="12">+C26+E26+G26+I26+K26+M26</f>
        <v>17</v>
      </c>
      <c r="P26" s="50">
        <f t="shared" ref="P26:P27" si="13">+D26+F26+H26+J26+L26+N26</f>
        <v>12631121.131999999</v>
      </c>
    </row>
    <row r="27" spans="2:16" ht="12" x14ac:dyDescent="0.2">
      <c r="B27" s="64" t="s">
        <v>27</v>
      </c>
      <c r="C27" s="71">
        <f>+'[4]Statisitcal Data'!C21</f>
        <v>11</v>
      </c>
      <c r="D27" s="78">
        <f>+'[4]Statisitcal Data'!D21</f>
        <v>4583448.8279999997</v>
      </c>
      <c r="E27" s="71">
        <f>+'[4]Statisitcal Data'!E21</f>
        <v>1</v>
      </c>
      <c r="F27" s="50">
        <f>+'[4]Statisitcal Data'!F21</f>
        <v>843074.4</v>
      </c>
      <c r="G27" s="87">
        <f>+'[4]Statisitcal Data'!G21</f>
        <v>0</v>
      </c>
      <c r="H27" s="78">
        <f>+'[4]Statisitcal Data'!H21</f>
        <v>0</v>
      </c>
      <c r="I27" s="71">
        <f>+'[4]Statisitcal Data'!I21</f>
        <v>0</v>
      </c>
      <c r="J27" s="50">
        <f>+'[4]Statisitcal Data'!J21</f>
        <v>0</v>
      </c>
      <c r="K27" s="87">
        <f>+'[4]Statisitcal Data'!K21</f>
        <v>0</v>
      </c>
      <c r="L27" s="78">
        <f>+'[4]Statisitcal Data'!L21</f>
        <v>0</v>
      </c>
      <c r="M27" s="87">
        <f>+'[4]Statisitcal Data'!M21</f>
        <v>0</v>
      </c>
      <c r="N27" s="78">
        <f>+'[4]Statisitcal Data'!N21</f>
        <v>0</v>
      </c>
      <c r="O27" s="71">
        <f t="shared" si="12"/>
        <v>12</v>
      </c>
      <c r="P27" s="50">
        <f t="shared" si="13"/>
        <v>5426523.2280000001</v>
      </c>
    </row>
    <row r="28" spans="2:16" s="9" customFormat="1" ht="12" x14ac:dyDescent="0.2">
      <c r="B28" s="51" t="s">
        <v>28</v>
      </c>
      <c r="C28" s="72">
        <f t="shared" ref="C28:P28" si="14">SUM(C25:C27)</f>
        <v>30</v>
      </c>
      <c r="D28" s="79">
        <f t="shared" si="14"/>
        <v>17679900.504000001</v>
      </c>
      <c r="E28" s="72">
        <f t="shared" si="14"/>
        <v>5</v>
      </c>
      <c r="F28" s="52">
        <f t="shared" si="14"/>
        <v>4074555.6879999996</v>
      </c>
      <c r="G28" s="88">
        <f t="shared" si="14"/>
        <v>2</v>
      </c>
      <c r="H28" s="79">
        <f t="shared" si="14"/>
        <v>3358118.7919999999</v>
      </c>
      <c r="I28" s="72">
        <f t="shared" si="14"/>
        <v>0</v>
      </c>
      <c r="J28" s="52">
        <f t="shared" si="14"/>
        <v>0</v>
      </c>
      <c r="K28" s="88">
        <f>SUM(K25:K27)</f>
        <v>1</v>
      </c>
      <c r="L28" s="79">
        <f>SUM(L25:L27)</f>
        <v>469624.70799999998</v>
      </c>
      <c r="M28" s="88">
        <f>SUM(M25:M27)</f>
        <v>0</v>
      </c>
      <c r="N28" s="79">
        <f>SUM(N25:N27)</f>
        <v>0</v>
      </c>
      <c r="O28" s="72">
        <f>SUM(O25:O27)</f>
        <v>38</v>
      </c>
      <c r="P28" s="52">
        <f t="shared" si="14"/>
        <v>25582199.691999998</v>
      </c>
    </row>
    <row r="29" spans="2:16" s="9" customFormat="1" ht="12" x14ac:dyDescent="0.2">
      <c r="B29" s="45" t="s">
        <v>35</v>
      </c>
      <c r="C29" s="73">
        <f>+C16+C20+C24+C28</f>
        <v>147</v>
      </c>
      <c r="D29" s="80">
        <f t="shared" ref="D29:J29" si="15">+D16+D20+D24+D28</f>
        <v>103690032.81</v>
      </c>
      <c r="E29" s="73">
        <f t="shared" si="15"/>
        <v>20</v>
      </c>
      <c r="F29" s="53">
        <f t="shared" si="15"/>
        <v>14163736.216</v>
      </c>
      <c r="G29" s="89">
        <f t="shared" si="15"/>
        <v>21</v>
      </c>
      <c r="H29" s="80">
        <f t="shared" si="15"/>
        <v>59085237.204000004</v>
      </c>
      <c r="I29" s="73">
        <f t="shared" si="15"/>
        <v>11</v>
      </c>
      <c r="J29" s="53">
        <f t="shared" si="15"/>
        <v>10647350.559999999</v>
      </c>
      <c r="K29" s="89">
        <f t="shared" ref="K29:P29" si="16">+K16+K20+K24+K28</f>
        <v>2</v>
      </c>
      <c r="L29" s="80">
        <f t="shared" si="16"/>
        <v>2206299.8160000001</v>
      </c>
      <c r="M29" s="89">
        <f t="shared" si="16"/>
        <v>6</v>
      </c>
      <c r="N29" s="80">
        <f t="shared" si="16"/>
        <v>11980854.507999999</v>
      </c>
      <c r="O29" s="73">
        <f t="shared" si="16"/>
        <v>207</v>
      </c>
      <c r="P29" s="53">
        <f t="shared" si="16"/>
        <v>201773511.11399996</v>
      </c>
    </row>
    <row r="30" spans="2:16" ht="12" x14ac:dyDescent="0.2">
      <c r="B30" s="45"/>
      <c r="C30" s="68"/>
      <c r="D30" s="54"/>
      <c r="E30" s="68"/>
      <c r="F30" s="54"/>
      <c r="G30" s="68"/>
      <c r="H30" s="54"/>
      <c r="I30" s="68"/>
      <c r="J30" s="54"/>
      <c r="K30" s="68"/>
      <c r="L30" s="54"/>
      <c r="M30" s="68"/>
      <c r="N30" s="54"/>
      <c r="O30" s="68"/>
      <c r="P30" s="54"/>
    </row>
    <row r="31" spans="2:16" ht="12.75" x14ac:dyDescent="0.2">
      <c r="B31" s="55">
        <v>2005</v>
      </c>
      <c r="C31" s="69"/>
      <c r="D31" s="81"/>
      <c r="E31" s="69"/>
      <c r="F31" s="56"/>
      <c r="G31" s="90"/>
      <c r="H31" s="81"/>
      <c r="I31" s="69"/>
      <c r="J31" s="56"/>
      <c r="K31" s="90"/>
      <c r="L31" s="81"/>
      <c r="M31" s="90"/>
      <c r="N31" s="81"/>
      <c r="O31" s="69"/>
      <c r="P31" s="56"/>
    </row>
    <row r="32" spans="2:16" ht="12" x14ac:dyDescent="0.2">
      <c r="B32" s="64" t="s">
        <v>14</v>
      </c>
      <c r="C32" s="71">
        <f>+'[5]Statisitcal Data'!C7</f>
        <v>6</v>
      </c>
      <c r="D32" s="78">
        <f>+'[5]Statisitcal Data'!D7</f>
        <v>4095581.0219999999</v>
      </c>
      <c r="E32" s="71">
        <f>+'[5]Statisitcal Data'!E7</f>
        <v>0</v>
      </c>
      <c r="F32" s="50">
        <f>+'[5]Statisitcal Data'!F7</f>
        <v>0</v>
      </c>
      <c r="G32" s="87">
        <f>+'[5]Statisitcal Data'!G7</f>
        <v>1</v>
      </c>
      <c r="H32" s="78">
        <f>+'[5]Statisitcal Data'!H7</f>
        <v>9908315.5999999996</v>
      </c>
      <c r="I32" s="71">
        <f>+'[5]Statisitcal Data'!I7</f>
        <v>0</v>
      </c>
      <c r="J32" s="50">
        <f>+'[5]Statisitcal Data'!J7</f>
        <v>0</v>
      </c>
      <c r="K32" s="87">
        <f>+'[5]Statisitcal Data'!K7</f>
        <v>0</v>
      </c>
      <c r="L32" s="78">
        <f>+'[5]Statisitcal Data'!L7</f>
        <v>0</v>
      </c>
      <c r="M32" s="87">
        <f>+'[5]Statisitcal Data'!M7</f>
        <v>0</v>
      </c>
      <c r="N32" s="78">
        <f>+'[5]Statisitcal Data'!N7</f>
        <v>0</v>
      </c>
      <c r="O32" s="71">
        <f t="shared" ref="O32:P34" si="17">+C32+E32+G32+I32+M32+K32</f>
        <v>7</v>
      </c>
      <c r="P32" s="50">
        <f t="shared" si="17"/>
        <v>14003896.622</v>
      </c>
    </row>
    <row r="33" spans="2:16" ht="12" x14ac:dyDescent="0.2">
      <c r="B33" s="64" t="s">
        <v>15</v>
      </c>
      <c r="C33" s="71">
        <f>+'[5]Statisitcal Data'!C8</f>
        <v>11</v>
      </c>
      <c r="D33" s="78">
        <f>+'[5]Statisitcal Data'!D8</f>
        <v>10298228.577</v>
      </c>
      <c r="E33" s="71">
        <f>+'[5]Statisitcal Data'!E8</f>
        <v>2</v>
      </c>
      <c r="F33" s="50">
        <f>+'[5]Statisitcal Data'!F8</f>
        <v>1350402.76</v>
      </c>
      <c r="G33" s="87">
        <f>+'[5]Statisitcal Data'!G8</f>
        <v>0</v>
      </c>
      <c r="H33" s="78">
        <f>+'[5]Statisitcal Data'!H8</f>
        <v>0</v>
      </c>
      <c r="I33" s="71">
        <f>+'[5]Statisitcal Data'!I8</f>
        <v>1</v>
      </c>
      <c r="J33" s="50">
        <f>+'[5]Statisitcal Data'!J8</f>
        <v>2767752</v>
      </c>
      <c r="K33" s="87">
        <f>+'[5]Statisitcal Data'!K8</f>
        <v>0</v>
      </c>
      <c r="L33" s="78">
        <f>+'[5]Statisitcal Data'!L8</f>
        <v>0</v>
      </c>
      <c r="M33" s="87">
        <f>+'[5]Statisitcal Data'!M8</f>
        <v>1</v>
      </c>
      <c r="N33" s="78">
        <f>+'[5]Statisitcal Data'!N8</f>
        <v>150289.52499999999</v>
      </c>
      <c r="O33" s="71">
        <f t="shared" si="17"/>
        <v>15</v>
      </c>
      <c r="P33" s="50">
        <f t="shared" si="17"/>
        <v>14566672.862</v>
      </c>
    </row>
    <row r="34" spans="2:16" ht="12" x14ac:dyDescent="0.2">
      <c r="B34" s="64" t="s">
        <v>16</v>
      </c>
      <c r="C34" s="71">
        <f>+'[5]Statisitcal Data'!C9</f>
        <v>13</v>
      </c>
      <c r="D34" s="78">
        <f>+'[5]Statisitcal Data'!D9</f>
        <v>14943773.158</v>
      </c>
      <c r="E34" s="71">
        <f>+'[5]Statisitcal Data'!E9</f>
        <v>3</v>
      </c>
      <c r="F34" s="50">
        <f>+'[5]Statisitcal Data'!F9</f>
        <v>5322428.4939999999</v>
      </c>
      <c r="G34" s="87">
        <f>+'[5]Statisitcal Data'!G9</f>
        <v>0</v>
      </c>
      <c r="H34" s="78">
        <f>+'[5]Statisitcal Data'!H9</f>
        <v>0</v>
      </c>
      <c r="I34" s="71">
        <f>+'[5]Statisitcal Data'!I9</f>
        <v>1</v>
      </c>
      <c r="J34" s="50">
        <f>+'[5]Statisitcal Data'!J9</f>
        <v>2777672.7349999999</v>
      </c>
      <c r="K34" s="87">
        <f>+'[5]Statisitcal Data'!K9</f>
        <v>1</v>
      </c>
      <c r="L34" s="78">
        <f>+'[5]Statisitcal Data'!L9</f>
        <v>667099.19999999995</v>
      </c>
      <c r="M34" s="87">
        <f>+'[5]Statisitcal Data'!M9</f>
        <v>4</v>
      </c>
      <c r="N34" s="78">
        <f>+'[5]Statisitcal Data'!N9</f>
        <v>1182.8</v>
      </c>
      <c r="O34" s="71">
        <f t="shared" si="17"/>
        <v>22</v>
      </c>
      <c r="P34" s="50">
        <f t="shared" si="17"/>
        <v>23712156.386999998</v>
      </c>
    </row>
    <row r="35" spans="2:16" s="9" customFormat="1" ht="12" x14ac:dyDescent="0.2">
      <c r="B35" s="51" t="s">
        <v>17</v>
      </c>
      <c r="C35" s="72">
        <f>SUM(C32:C34)</f>
        <v>30</v>
      </c>
      <c r="D35" s="79">
        <f t="shared" ref="D35:O35" si="18">SUM(D32:D34)</f>
        <v>29337582.756999999</v>
      </c>
      <c r="E35" s="72">
        <f t="shared" si="18"/>
        <v>5</v>
      </c>
      <c r="F35" s="52">
        <f t="shared" si="18"/>
        <v>6672831.2539999997</v>
      </c>
      <c r="G35" s="88">
        <f t="shared" si="18"/>
        <v>1</v>
      </c>
      <c r="H35" s="79">
        <f t="shared" si="18"/>
        <v>9908315.5999999996</v>
      </c>
      <c r="I35" s="72">
        <f t="shared" si="18"/>
        <v>2</v>
      </c>
      <c r="J35" s="52">
        <f t="shared" si="18"/>
        <v>5545424.7349999994</v>
      </c>
      <c r="K35" s="88">
        <f>SUM(K32:K34)</f>
        <v>1</v>
      </c>
      <c r="L35" s="79">
        <f>SUM(L32:L34)</f>
        <v>667099.19999999995</v>
      </c>
      <c r="M35" s="88">
        <f>SUM(M32:M34)</f>
        <v>5</v>
      </c>
      <c r="N35" s="79">
        <f>SUM(N32:N34)</f>
        <v>151472.32499999998</v>
      </c>
      <c r="O35" s="72">
        <f t="shared" si="18"/>
        <v>44</v>
      </c>
      <c r="P35" s="52">
        <f>SUM(P32:P34)</f>
        <v>52282725.870999992</v>
      </c>
    </row>
    <row r="36" spans="2:16" ht="12" x14ac:dyDescent="0.2">
      <c r="B36" s="64" t="s">
        <v>18</v>
      </c>
      <c r="C36" s="71">
        <f>+'[5]Statisitcal Data'!C11</f>
        <v>15</v>
      </c>
      <c r="D36" s="78">
        <f>+'[5]Statisitcal Data'!D11</f>
        <v>17995979.686999999</v>
      </c>
      <c r="E36" s="71">
        <f>+'[5]Statisitcal Data'!E11</f>
        <v>8</v>
      </c>
      <c r="F36" s="50">
        <f>+'[5]Statisitcal Data'!F11</f>
        <v>7712361.6469999999</v>
      </c>
      <c r="G36" s="87">
        <f>+'[5]Statisitcal Data'!G11</f>
        <v>0</v>
      </c>
      <c r="H36" s="78">
        <f>+'[5]Statisitcal Data'!H11</f>
        <v>0</v>
      </c>
      <c r="I36" s="71">
        <f>+'[5]Statisitcal Data'!I11</f>
        <v>2</v>
      </c>
      <c r="J36" s="50">
        <f>+'[5]Statisitcal Data'!J11</f>
        <v>967985.77799999993</v>
      </c>
      <c r="K36" s="87">
        <f>+'[5]Statisitcal Data'!K11</f>
        <v>0</v>
      </c>
      <c r="L36" s="78">
        <f>+'[5]Statisitcal Data'!L11</f>
        <v>0</v>
      </c>
      <c r="M36" s="87">
        <f>+'[5]Statisitcal Data'!M11</f>
        <v>1</v>
      </c>
      <c r="N36" s="78">
        <f>+'[5]Statisitcal Data'!N11</f>
        <v>327635.59999999998</v>
      </c>
      <c r="O36" s="71">
        <f t="shared" ref="O36:P38" si="19">+C36+E36+G36+I36+M36+K36</f>
        <v>26</v>
      </c>
      <c r="P36" s="50">
        <f t="shared" si="19"/>
        <v>27003962.712000001</v>
      </c>
    </row>
    <row r="37" spans="2:16" ht="12" x14ac:dyDescent="0.2">
      <c r="B37" s="64" t="s">
        <v>19</v>
      </c>
      <c r="C37" s="71">
        <f>+'[5]Statisitcal Data'!C12</f>
        <v>11</v>
      </c>
      <c r="D37" s="78">
        <f>+'[5]Statisitcal Data'!D12</f>
        <v>8294689.5709999986</v>
      </c>
      <c r="E37" s="71">
        <f>+'[5]Statisitcal Data'!E12</f>
        <v>4</v>
      </c>
      <c r="F37" s="50">
        <f>+'[5]Statisitcal Data'!F12</f>
        <v>3813704.997</v>
      </c>
      <c r="G37" s="87">
        <f>+'[5]Statisitcal Data'!G12</f>
        <v>0</v>
      </c>
      <c r="H37" s="78">
        <f>+'[5]Statisitcal Data'!H12</f>
        <v>0</v>
      </c>
      <c r="I37" s="71">
        <f>+'[5]Statisitcal Data'!I12</f>
        <v>1</v>
      </c>
      <c r="J37" s="50">
        <f>+'[5]Statisitcal Data'!J12</f>
        <v>110370.02499999999</v>
      </c>
      <c r="K37" s="87">
        <f>+'[5]Statisitcal Data'!K12</f>
        <v>0</v>
      </c>
      <c r="L37" s="78">
        <f>+'[5]Statisitcal Data'!L12</f>
        <v>0</v>
      </c>
      <c r="M37" s="87">
        <f>+'[5]Statisitcal Data'!M12</f>
        <v>1</v>
      </c>
      <c r="N37" s="78">
        <f>+'[5]Statisitcal Data'!N12</f>
        <v>521475.821</v>
      </c>
      <c r="O37" s="71">
        <f t="shared" si="19"/>
        <v>17</v>
      </c>
      <c r="P37" s="50">
        <f t="shared" si="19"/>
        <v>12740240.413999999</v>
      </c>
    </row>
    <row r="38" spans="2:16" ht="12" x14ac:dyDescent="0.2">
      <c r="B38" s="64" t="s">
        <v>20</v>
      </c>
      <c r="C38" s="71">
        <f>+'[5]Statisitcal Data'!C13</f>
        <v>18</v>
      </c>
      <c r="D38" s="78">
        <f>+'[5]Statisitcal Data'!D13</f>
        <v>15945178.950000001</v>
      </c>
      <c r="E38" s="71">
        <f>+'[5]Statisitcal Data'!E13</f>
        <v>5</v>
      </c>
      <c r="F38" s="50">
        <f>+'[5]Statisitcal Data'!F13</f>
        <v>5070616.2879999997</v>
      </c>
      <c r="G38" s="87">
        <f>+'[5]Statisitcal Data'!G13</f>
        <v>0</v>
      </c>
      <c r="H38" s="78">
        <f>+'[5]Statisitcal Data'!H13</f>
        <v>0</v>
      </c>
      <c r="I38" s="71">
        <f>+'[5]Statisitcal Data'!I13</f>
        <v>2</v>
      </c>
      <c r="J38" s="50">
        <f>+'[5]Statisitcal Data'!J13</f>
        <v>1434606.2919999999</v>
      </c>
      <c r="K38" s="87">
        <f>+'[5]Statisitcal Data'!K13</f>
        <v>0</v>
      </c>
      <c r="L38" s="78">
        <f>+'[5]Statisitcal Data'!L13</f>
        <v>0</v>
      </c>
      <c r="M38" s="87">
        <f>+'[5]Statisitcal Data'!M13</f>
        <v>0</v>
      </c>
      <c r="N38" s="78">
        <f>+'[5]Statisitcal Data'!N13</f>
        <v>0</v>
      </c>
      <c r="O38" s="71">
        <f t="shared" si="19"/>
        <v>25</v>
      </c>
      <c r="P38" s="50">
        <f t="shared" si="19"/>
        <v>22450401.530000001</v>
      </c>
    </row>
    <row r="39" spans="2:16" s="9" customFormat="1" ht="12" x14ac:dyDescent="0.2">
      <c r="B39" s="51" t="s">
        <v>21</v>
      </c>
      <c r="C39" s="72">
        <f>SUM(C36:C38)</f>
        <v>44</v>
      </c>
      <c r="D39" s="79">
        <f t="shared" ref="D39:P39" si="20">SUM(D36:D38)</f>
        <v>42235848.207999997</v>
      </c>
      <c r="E39" s="72">
        <f t="shared" si="20"/>
        <v>17</v>
      </c>
      <c r="F39" s="52">
        <f t="shared" si="20"/>
        <v>16596682.932</v>
      </c>
      <c r="G39" s="88">
        <f t="shared" si="20"/>
        <v>0</v>
      </c>
      <c r="H39" s="79">
        <f t="shared" si="20"/>
        <v>0</v>
      </c>
      <c r="I39" s="72">
        <f t="shared" si="20"/>
        <v>5</v>
      </c>
      <c r="J39" s="52">
        <f t="shared" si="20"/>
        <v>2512962.0949999997</v>
      </c>
      <c r="K39" s="88">
        <f>SUM(K36:K38)</f>
        <v>0</v>
      </c>
      <c r="L39" s="79">
        <f>SUM(L36:L38)</f>
        <v>0</v>
      </c>
      <c r="M39" s="88">
        <f>SUM(M36:M38)</f>
        <v>2</v>
      </c>
      <c r="N39" s="79">
        <f>SUM(N36:N38)</f>
        <v>849111.42099999997</v>
      </c>
      <c r="O39" s="72">
        <f t="shared" si="20"/>
        <v>68</v>
      </c>
      <c r="P39" s="52">
        <f t="shared" si="20"/>
        <v>62194604.656000003</v>
      </c>
    </row>
    <row r="40" spans="2:16" ht="12" x14ac:dyDescent="0.2">
      <c r="B40" s="64" t="s">
        <v>22</v>
      </c>
      <c r="C40" s="71">
        <f>+'[5]Statisitcal Data'!C15</f>
        <v>13</v>
      </c>
      <c r="D40" s="78">
        <f>+'[5]Statisitcal Data'!D15</f>
        <v>11350444.5</v>
      </c>
      <c r="E40" s="71">
        <f>+'[5]Statisitcal Data'!E15</f>
        <v>1</v>
      </c>
      <c r="F40" s="50">
        <f>+'[5]Statisitcal Data'!F15</f>
        <v>0</v>
      </c>
      <c r="G40" s="87">
        <f>+'[5]Statisitcal Data'!G15</f>
        <v>1</v>
      </c>
      <c r="H40" s="78">
        <f>+'[5]Statisitcal Data'!H15</f>
        <v>366895.68899999995</v>
      </c>
      <c r="I40" s="71">
        <f>+'[5]Statisitcal Data'!I15</f>
        <v>5</v>
      </c>
      <c r="J40" s="50">
        <f>+'[5]Statisitcal Data'!J15</f>
        <v>3504045</v>
      </c>
      <c r="K40" s="87">
        <f>+'[5]Statisitcal Data'!K15</f>
        <v>0</v>
      </c>
      <c r="L40" s="78">
        <f>+'[5]Statisitcal Data'!L15</f>
        <v>0</v>
      </c>
      <c r="M40" s="87">
        <f>+'[5]Statisitcal Data'!M15</f>
        <v>0</v>
      </c>
      <c r="N40" s="78">
        <f>+'[5]Statisitcal Data'!N15</f>
        <v>0</v>
      </c>
      <c r="O40" s="71">
        <f t="shared" ref="O40:P42" si="21">+C40+E40+G40+I40+M40+K40</f>
        <v>20</v>
      </c>
      <c r="P40" s="50">
        <f t="shared" si="21"/>
        <v>15221385.188999999</v>
      </c>
    </row>
    <row r="41" spans="2:16" ht="12" x14ac:dyDescent="0.2">
      <c r="B41" s="64" t="s">
        <v>23</v>
      </c>
      <c r="C41" s="71">
        <f>+'[5]Statisitcal Data'!C16</f>
        <v>19</v>
      </c>
      <c r="D41" s="78">
        <f>+'[5]Statisitcal Data'!D16</f>
        <v>14964197.156999998</v>
      </c>
      <c r="E41" s="71">
        <f>+'[5]Statisitcal Data'!E16</f>
        <v>4</v>
      </c>
      <c r="F41" s="50">
        <f>+'[5]Statisitcal Data'!F16</f>
        <v>3984202.66</v>
      </c>
      <c r="G41" s="87">
        <f>+'[5]Statisitcal Data'!G16</f>
        <v>4</v>
      </c>
      <c r="H41" s="78">
        <f>+'[5]Statisitcal Data'!H16</f>
        <v>5003244</v>
      </c>
      <c r="I41" s="71">
        <f>+'[5]Statisitcal Data'!I16</f>
        <v>2</v>
      </c>
      <c r="J41" s="50">
        <f>+'[5]Statisitcal Data'!J16</f>
        <v>945908.81600000011</v>
      </c>
      <c r="K41" s="87">
        <f>+'[5]Statisitcal Data'!K16</f>
        <v>1</v>
      </c>
      <c r="L41" s="78">
        <f>+'[5]Statisitcal Data'!L16</f>
        <v>227904.861</v>
      </c>
      <c r="M41" s="87">
        <f>+'[5]Statisitcal Data'!M16</f>
        <v>0</v>
      </c>
      <c r="N41" s="78">
        <f>+'[5]Statisitcal Data'!N16</f>
        <v>0</v>
      </c>
      <c r="O41" s="71">
        <f t="shared" si="21"/>
        <v>30</v>
      </c>
      <c r="P41" s="50">
        <f t="shared" si="21"/>
        <v>25125457.493999999</v>
      </c>
    </row>
    <row r="42" spans="2:16" ht="12" x14ac:dyDescent="0.2">
      <c r="B42" s="64" t="s">
        <v>36</v>
      </c>
      <c r="C42" s="71">
        <f>+'[5]Statisitcal Data'!C17</f>
        <v>18</v>
      </c>
      <c r="D42" s="78">
        <f>+'[5]Statisitcal Data'!D17</f>
        <v>20240103.169999998</v>
      </c>
      <c r="E42" s="71">
        <f>+'[5]Statisitcal Data'!E17</f>
        <v>6</v>
      </c>
      <c r="F42" s="50">
        <f>+'[5]Statisitcal Data'!F17</f>
        <v>4439252.4330000002</v>
      </c>
      <c r="G42" s="87">
        <f>+'[5]Statisitcal Data'!G17</f>
        <v>2</v>
      </c>
      <c r="H42" s="78">
        <f>+'[5]Statisitcal Data'!H17</f>
        <v>2295258.8840000001</v>
      </c>
      <c r="I42" s="71">
        <f>+'[5]Statisitcal Data'!I17</f>
        <v>3</v>
      </c>
      <c r="J42" s="50">
        <f>+'[5]Statisitcal Data'!J17</f>
        <v>4615374.3099999996</v>
      </c>
      <c r="K42" s="87">
        <f>+'[5]Statisitcal Data'!K17</f>
        <v>2</v>
      </c>
      <c r="L42" s="78">
        <f>+'[5]Statisitcal Data'!L17</f>
        <v>1715060</v>
      </c>
      <c r="M42" s="87">
        <f>+'[5]Statisitcal Data'!M17</f>
        <v>0</v>
      </c>
      <c r="N42" s="78">
        <f>+'[5]Statisitcal Data'!N17</f>
        <v>0</v>
      </c>
      <c r="O42" s="71">
        <f t="shared" si="21"/>
        <v>31</v>
      </c>
      <c r="P42" s="50">
        <f t="shared" si="21"/>
        <v>33305048.796999998</v>
      </c>
    </row>
    <row r="43" spans="2:16" s="9" customFormat="1" ht="12" x14ac:dyDescent="0.2">
      <c r="B43" s="51" t="s">
        <v>24</v>
      </c>
      <c r="C43" s="72">
        <f>SUM(C40:C42)</f>
        <v>50</v>
      </c>
      <c r="D43" s="79">
        <f t="shared" ref="D43:P43" si="22">SUM(D40:D42)</f>
        <v>46554744.826999992</v>
      </c>
      <c r="E43" s="72">
        <f t="shared" si="22"/>
        <v>11</v>
      </c>
      <c r="F43" s="52">
        <f t="shared" si="22"/>
        <v>8423455.0930000003</v>
      </c>
      <c r="G43" s="88">
        <f t="shared" si="22"/>
        <v>7</v>
      </c>
      <c r="H43" s="79">
        <f t="shared" si="22"/>
        <v>7665398.5730000008</v>
      </c>
      <c r="I43" s="72">
        <f t="shared" si="22"/>
        <v>10</v>
      </c>
      <c r="J43" s="52">
        <f t="shared" si="22"/>
        <v>9065328.1259999983</v>
      </c>
      <c r="K43" s="88">
        <f>SUM(K40:K42)</f>
        <v>3</v>
      </c>
      <c r="L43" s="79">
        <f>SUM(L40:L42)</f>
        <v>1942964.861</v>
      </c>
      <c r="M43" s="88">
        <f>SUM(M40:M42)</f>
        <v>0</v>
      </c>
      <c r="N43" s="79">
        <f>SUM(N40:N42)</f>
        <v>0</v>
      </c>
      <c r="O43" s="72">
        <f t="shared" si="22"/>
        <v>81</v>
      </c>
      <c r="P43" s="52">
        <f t="shared" si="22"/>
        <v>73651891.479999989</v>
      </c>
    </row>
    <row r="44" spans="2:16" ht="12" x14ac:dyDescent="0.2">
      <c r="B44" s="64" t="s">
        <v>25</v>
      </c>
      <c r="C44" s="71">
        <f>+'[5]Statisitcal Data'!C19</f>
        <v>15</v>
      </c>
      <c r="D44" s="78">
        <f>+'[5]Statisitcal Data'!D19</f>
        <v>19571271.167999998</v>
      </c>
      <c r="E44" s="71">
        <f>+'[5]Statisitcal Data'!E19</f>
        <v>7</v>
      </c>
      <c r="F44" s="50">
        <f>+'[5]Statisitcal Data'!F19</f>
        <v>5063061.1529999999</v>
      </c>
      <c r="G44" s="87">
        <f>+'[5]Statisitcal Data'!G19</f>
        <v>2</v>
      </c>
      <c r="H44" s="78">
        <f>+'[5]Statisitcal Data'!H19</f>
        <v>183382311.46599999</v>
      </c>
      <c r="I44" s="71">
        <f>+'[5]Statisitcal Data'!I19</f>
        <v>1</v>
      </c>
      <c r="J44" s="50">
        <f>+'[5]Statisitcal Data'!J19</f>
        <v>4737114</v>
      </c>
      <c r="K44" s="87">
        <f>+'[5]Statisitcal Data'!K19</f>
        <v>0</v>
      </c>
      <c r="L44" s="78">
        <f>+'[5]Statisitcal Data'!L19</f>
        <v>0</v>
      </c>
      <c r="M44" s="87">
        <f>+'[5]Statisitcal Data'!M19</f>
        <v>0</v>
      </c>
      <c r="N44" s="78">
        <f>+'[5]Statisitcal Data'!N19</f>
        <v>0</v>
      </c>
      <c r="O44" s="71">
        <f t="shared" ref="O44:P46" si="23">+C44+E44+G44+I44+M44+K44</f>
        <v>25</v>
      </c>
      <c r="P44" s="50">
        <f t="shared" si="23"/>
        <v>212753757.787</v>
      </c>
    </row>
    <row r="45" spans="2:16" ht="12" x14ac:dyDescent="0.2">
      <c r="B45" s="64" t="s">
        <v>26</v>
      </c>
      <c r="C45" s="71">
        <f>+'[5]Statisitcal Data'!C20</f>
        <v>14</v>
      </c>
      <c r="D45" s="78">
        <f>+'[5]Statisitcal Data'!D20</f>
        <v>12974458.469999999</v>
      </c>
      <c r="E45" s="71">
        <f>+'[5]Statisitcal Data'!E20</f>
        <v>2</v>
      </c>
      <c r="F45" s="50">
        <f>+'[5]Statisitcal Data'!F20</f>
        <v>3430179.14</v>
      </c>
      <c r="G45" s="87">
        <f>+'[5]Statisitcal Data'!G20</f>
        <v>1</v>
      </c>
      <c r="H45" s="78">
        <f>+'[5]Statisitcal Data'!H20</f>
        <v>1326063.693</v>
      </c>
      <c r="I45" s="71">
        <f>+'[5]Statisitcal Data'!I20</f>
        <v>1</v>
      </c>
      <c r="J45" s="50">
        <f>+'[5]Statisitcal Data'!J20</f>
        <v>147879.57</v>
      </c>
      <c r="K45" s="87">
        <f>+'[5]Statisitcal Data'!K20</f>
        <v>0</v>
      </c>
      <c r="L45" s="78">
        <f>+'[5]Statisitcal Data'!L20</f>
        <v>0</v>
      </c>
      <c r="M45" s="87">
        <f>+'[5]Statisitcal Data'!M20</f>
        <v>0</v>
      </c>
      <c r="N45" s="78">
        <f>+'[5]Statisitcal Data'!N20</f>
        <v>0</v>
      </c>
      <c r="O45" s="71">
        <f t="shared" si="23"/>
        <v>18</v>
      </c>
      <c r="P45" s="50">
        <f t="shared" si="23"/>
        <v>17878580.873</v>
      </c>
    </row>
    <row r="46" spans="2:16" ht="12" x14ac:dyDescent="0.2">
      <c r="B46" s="64" t="s">
        <v>27</v>
      </c>
      <c r="C46" s="71">
        <f>+'[5]Statisitcal Data'!C21</f>
        <v>11</v>
      </c>
      <c r="D46" s="78">
        <f>+'[5]Statisitcal Data'!D21</f>
        <v>7763423.1229999997</v>
      </c>
      <c r="E46" s="71">
        <f>+'[5]Statisitcal Data'!E21</f>
        <v>10</v>
      </c>
      <c r="F46" s="50">
        <f>+'[5]Statisitcal Data'!F21</f>
        <v>10117570.662</v>
      </c>
      <c r="G46" s="87">
        <f>+'[5]Statisitcal Data'!G21</f>
        <v>5</v>
      </c>
      <c r="H46" s="78">
        <f>+'[5]Statisitcal Data'!H21</f>
        <v>16866748.698999997</v>
      </c>
      <c r="I46" s="71">
        <f>+'[5]Statisitcal Data'!I21</f>
        <v>4</v>
      </c>
      <c r="J46" s="50">
        <f>+'[5]Statisitcal Data'!J21</f>
        <v>12330527.364999998</v>
      </c>
      <c r="K46" s="87">
        <f>+'[5]Statisitcal Data'!K21</f>
        <v>0</v>
      </c>
      <c r="L46" s="78">
        <f>+'[5]Statisitcal Data'!L21</f>
        <v>0</v>
      </c>
      <c r="M46" s="87">
        <f>+'[5]Statisitcal Data'!M21</f>
        <v>0</v>
      </c>
      <c r="N46" s="78">
        <f>+'[5]Statisitcal Data'!N21</f>
        <v>0</v>
      </c>
      <c r="O46" s="71">
        <f t="shared" si="23"/>
        <v>30</v>
      </c>
      <c r="P46" s="50">
        <f t="shared" si="23"/>
        <v>47078269.848999992</v>
      </c>
    </row>
    <row r="47" spans="2:16" s="9" customFormat="1" ht="12" x14ac:dyDescent="0.2">
      <c r="B47" s="51" t="s">
        <v>28</v>
      </c>
      <c r="C47" s="72">
        <f>SUM(C44:C46)</f>
        <v>40</v>
      </c>
      <c r="D47" s="79">
        <f t="shared" ref="D47:P47" si="24">SUM(D44:D46)</f>
        <v>40309152.760999992</v>
      </c>
      <c r="E47" s="72">
        <f t="shared" si="24"/>
        <v>19</v>
      </c>
      <c r="F47" s="52">
        <f t="shared" si="24"/>
        <v>18610810.954999998</v>
      </c>
      <c r="G47" s="88">
        <f t="shared" si="24"/>
        <v>8</v>
      </c>
      <c r="H47" s="79">
        <f t="shared" si="24"/>
        <v>201575123.85799998</v>
      </c>
      <c r="I47" s="72">
        <f t="shared" si="24"/>
        <v>6</v>
      </c>
      <c r="J47" s="52">
        <f t="shared" si="24"/>
        <v>17215520.934999999</v>
      </c>
      <c r="K47" s="88">
        <f>SUM(K44:K46)</f>
        <v>0</v>
      </c>
      <c r="L47" s="79">
        <f>SUM(L44:L46)</f>
        <v>0</v>
      </c>
      <c r="M47" s="88">
        <f>SUM(M44:M46)</f>
        <v>0</v>
      </c>
      <c r="N47" s="79">
        <f>SUM(N44:N46)</f>
        <v>0</v>
      </c>
      <c r="O47" s="72">
        <f t="shared" si="24"/>
        <v>73</v>
      </c>
      <c r="P47" s="52">
        <f t="shared" si="24"/>
        <v>277710608.509</v>
      </c>
    </row>
    <row r="48" spans="2:16" s="9" customFormat="1" ht="12" x14ac:dyDescent="0.2">
      <c r="B48" s="45" t="s">
        <v>35</v>
      </c>
      <c r="C48" s="73">
        <f>SUM(C47,C43,C39,C35)</f>
        <v>164</v>
      </c>
      <c r="D48" s="80">
        <f t="shared" ref="D48:P48" si="25">SUM(D47,D43,D39,D35)</f>
        <v>158437328.55299997</v>
      </c>
      <c r="E48" s="73">
        <f t="shared" si="25"/>
        <v>52</v>
      </c>
      <c r="F48" s="53">
        <f t="shared" si="25"/>
        <v>50303780.234000005</v>
      </c>
      <c r="G48" s="89">
        <f t="shared" si="25"/>
        <v>16</v>
      </c>
      <c r="H48" s="80">
        <f t="shared" si="25"/>
        <v>219148838.03099999</v>
      </c>
      <c r="I48" s="73">
        <f t="shared" si="25"/>
        <v>23</v>
      </c>
      <c r="J48" s="53">
        <f t="shared" si="25"/>
        <v>34339235.890999995</v>
      </c>
      <c r="K48" s="89">
        <f>SUM(K47,K43,K39,K35)</f>
        <v>4</v>
      </c>
      <c r="L48" s="80">
        <f>SUM(L47,L43,L39,L35)</f>
        <v>2610064.0609999998</v>
      </c>
      <c r="M48" s="89">
        <f>SUM(M47,M43,M39,M35)</f>
        <v>7</v>
      </c>
      <c r="N48" s="80">
        <f>SUM(N47,N43,N39,N35)</f>
        <v>1000583.7459999999</v>
      </c>
      <c r="O48" s="73">
        <f t="shared" si="25"/>
        <v>266</v>
      </c>
      <c r="P48" s="53">
        <f t="shared" si="25"/>
        <v>465839830.51599997</v>
      </c>
    </row>
    <row r="49" spans="2:16" s="9" customFormat="1" x14ac:dyDescent="0.2">
      <c r="B49" s="54"/>
      <c r="C49" s="54"/>
      <c r="D49" s="54"/>
      <c r="E49" s="54"/>
      <c r="F49" s="54"/>
      <c r="G49" s="68"/>
      <c r="H49" s="54"/>
      <c r="I49" s="68"/>
      <c r="J49" s="54"/>
      <c r="K49" s="68"/>
      <c r="L49" s="54"/>
      <c r="M49" s="68"/>
      <c r="N49" s="54"/>
      <c r="O49" s="68"/>
      <c r="P49" s="54"/>
    </row>
    <row r="50" spans="2:16" ht="12" x14ac:dyDescent="0.2">
      <c r="B50" s="57" t="s">
        <v>61</v>
      </c>
      <c r="C50" s="70"/>
      <c r="D50" s="82"/>
      <c r="E50" s="70"/>
      <c r="F50" s="74"/>
      <c r="G50" s="91"/>
      <c r="H50" s="82"/>
      <c r="I50" s="70"/>
      <c r="J50" s="74"/>
      <c r="K50" s="91"/>
      <c r="L50" s="82"/>
      <c r="M50" s="91"/>
      <c r="N50" s="82"/>
      <c r="O50" s="70"/>
      <c r="P50" s="74"/>
    </row>
    <row r="51" spans="2:16" ht="12" x14ac:dyDescent="0.2">
      <c r="B51" s="64" t="s">
        <v>14</v>
      </c>
      <c r="C51" s="50">
        <f>+IF(C13=0,0,((C32-C13)/C13*100))</f>
        <v>-80</v>
      </c>
      <c r="D51" s="78">
        <f t="shared" ref="D51:P51" si="26">+IF(D13=0,0,((D32-D13)/D13*100))</f>
        <v>-88.605394074859916</v>
      </c>
      <c r="E51" s="50">
        <f t="shared" si="26"/>
        <v>0</v>
      </c>
      <c r="F51" s="50">
        <f t="shared" si="26"/>
        <v>0</v>
      </c>
      <c r="G51" s="92">
        <f t="shared" si="26"/>
        <v>0</v>
      </c>
      <c r="H51" s="78">
        <f t="shared" si="26"/>
        <v>0</v>
      </c>
      <c r="I51" s="50">
        <f t="shared" si="26"/>
        <v>-100</v>
      </c>
      <c r="J51" s="50">
        <f t="shared" si="26"/>
        <v>-100</v>
      </c>
      <c r="K51" s="92">
        <f t="shared" ref="K51:N67" si="27">+IF(K13=0,0,((K32-K13)/K13*100))</f>
        <v>0</v>
      </c>
      <c r="L51" s="78">
        <f t="shared" si="27"/>
        <v>0</v>
      </c>
      <c r="M51" s="92">
        <f t="shared" si="27"/>
        <v>0</v>
      </c>
      <c r="N51" s="78">
        <f t="shared" si="27"/>
        <v>0</v>
      </c>
      <c r="O51" s="50">
        <f t="shared" si="26"/>
        <v>-77.41935483870968</v>
      </c>
      <c r="P51" s="50">
        <f t="shared" si="26"/>
        <v>-62.248267713203184</v>
      </c>
    </row>
    <row r="52" spans="2:16" ht="12" x14ac:dyDescent="0.2">
      <c r="B52" s="64" t="s">
        <v>15</v>
      </c>
      <c r="C52" s="50">
        <f t="shared" ref="C52:P67" si="28">+IF(C14=0,0,((C33-C14)/C14*100))</f>
        <v>37.5</v>
      </c>
      <c r="D52" s="78">
        <f t="shared" si="28"/>
        <v>246.46413219821835</v>
      </c>
      <c r="E52" s="50">
        <f t="shared" si="28"/>
        <v>0</v>
      </c>
      <c r="F52" s="50">
        <f t="shared" si="28"/>
        <v>-0.78140654412294075</v>
      </c>
      <c r="G52" s="92">
        <f t="shared" si="28"/>
        <v>0</v>
      </c>
      <c r="H52" s="78">
        <f t="shared" si="28"/>
        <v>0</v>
      </c>
      <c r="I52" s="50">
        <f t="shared" si="28"/>
        <v>0</v>
      </c>
      <c r="J52" s="50">
        <f t="shared" si="28"/>
        <v>0</v>
      </c>
      <c r="K52" s="92">
        <f t="shared" si="27"/>
        <v>0</v>
      </c>
      <c r="L52" s="78">
        <f t="shared" si="27"/>
        <v>0</v>
      </c>
      <c r="M52" s="92">
        <f t="shared" si="27"/>
        <v>0</v>
      </c>
      <c r="N52" s="78">
        <f t="shared" si="27"/>
        <v>0</v>
      </c>
      <c r="O52" s="50">
        <f t="shared" si="28"/>
        <v>50</v>
      </c>
      <c r="P52" s="50">
        <f t="shared" si="28"/>
        <v>236.14746600049673</v>
      </c>
    </row>
    <row r="53" spans="2:16" ht="12" x14ac:dyDescent="0.2">
      <c r="B53" s="64" t="s">
        <v>16</v>
      </c>
      <c r="C53" s="50">
        <f t="shared" si="28"/>
        <v>62.5</v>
      </c>
      <c r="D53" s="78">
        <f t="shared" si="28"/>
        <v>332.83068263305353</v>
      </c>
      <c r="E53" s="50">
        <f t="shared" si="28"/>
        <v>200</v>
      </c>
      <c r="F53" s="50">
        <f t="shared" si="28"/>
        <v>697.83897691759751</v>
      </c>
      <c r="G53" s="92">
        <f t="shared" si="28"/>
        <v>0</v>
      </c>
      <c r="H53" s="78">
        <f t="shared" si="28"/>
        <v>0</v>
      </c>
      <c r="I53" s="50">
        <f t="shared" si="28"/>
        <v>0</v>
      </c>
      <c r="J53" s="50">
        <f t="shared" si="28"/>
        <v>1746.1792845976743</v>
      </c>
      <c r="K53" s="92">
        <f t="shared" si="27"/>
        <v>0</v>
      </c>
      <c r="L53" s="78">
        <f t="shared" si="27"/>
        <v>0</v>
      </c>
      <c r="M53" s="92">
        <f t="shared" si="27"/>
        <v>0</v>
      </c>
      <c r="N53" s="78">
        <f t="shared" si="27"/>
        <v>0</v>
      </c>
      <c r="O53" s="50">
        <f t="shared" si="28"/>
        <v>120</v>
      </c>
      <c r="P53" s="50">
        <f t="shared" si="28"/>
        <v>455.30308614905135</v>
      </c>
    </row>
    <row r="54" spans="2:16" s="9" customFormat="1" ht="12" x14ac:dyDescent="0.2">
      <c r="B54" s="51" t="s">
        <v>17</v>
      </c>
      <c r="C54" s="67">
        <f t="shared" si="28"/>
        <v>-34.782608695652172</v>
      </c>
      <c r="D54" s="83">
        <f t="shared" si="28"/>
        <v>-30.755497111763901</v>
      </c>
      <c r="E54" s="67">
        <f t="shared" si="28"/>
        <v>66.666666666666657</v>
      </c>
      <c r="F54" s="67">
        <f t="shared" si="28"/>
        <v>229.01177480726705</v>
      </c>
      <c r="G54" s="93">
        <f t="shared" si="28"/>
        <v>0</v>
      </c>
      <c r="H54" s="83">
        <f t="shared" si="28"/>
        <v>0</v>
      </c>
      <c r="I54" s="67">
        <f t="shared" si="28"/>
        <v>0</v>
      </c>
      <c r="J54" s="67">
        <f t="shared" si="28"/>
        <v>325.91210459136823</v>
      </c>
      <c r="K54" s="93">
        <f t="shared" si="27"/>
        <v>0</v>
      </c>
      <c r="L54" s="83">
        <f t="shared" si="27"/>
        <v>0</v>
      </c>
      <c r="M54" s="93">
        <f t="shared" si="27"/>
        <v>0</v>
      </c>
      <c r="N54" s="83">
        <f t="shared" si="27"/>
        <v>0</v>
      </c>
      <c r="O54" s="67">
        <f t="shared" si="28"/>
        <v>-13.725490196078432</v>
      </c>
      <c r="P54" s="67">
        <f t="shared" si="28"/>
        <v>14.408573231523251</v>
      </c>
    </row>
    <row r="55" spans="2:16" ht="12" x14ac:dyDescent="0.2">
      <c r="B55" s="64" t="s">
        <v>18</v>
      </c>
      <c r="C55" s="50">
        <f t="shared" si="28"/>
        <v>7.1428571428571423</v>
      </c>
      <c r="D55" s="78">
        <f t="shared" si="28"/>
        <v>123.17613654068948</v>
      </c>
      <c r="E55" s="50">
        <f t="shared" si="28"/>
        <v>33.333333333333329</v>
      </c>
      <c r="F55" s="50">
        <f t="shared" si="28"/>
        <v>152.11989304628932</v>
      </c>
      <c r="G55" s="92">
        <f t="shared" si="28"/>
        <v>-100</v>
      </c>
      <c r="H55" s="78">
        <f t="shared" si="28"/>
        <v>-100</v>
      </c>
      <c r="I55" s="50">
        <f t="shared" si="28"/>
        <v>0</v>
      </c>
      <c r="J55" s="50">
        <f t="shared" si="28"/>
        <v>-28.753451603732884</v>
      </c>
      <c r="K55" s="92">
        <f t="shared" si="27"/>
        <v>0</v>
      </c>
      <c r="L55" s="78">
        <f t="shared" si="27"/>
        <v>0</v>
      </c>
      <c r="M55" s="92">
        <f t="shared" si="27"/>
        <v>-50</v>
      </c>
      <c r="N55" s="78">
        <f t="shared" si="27"/>
        <v>-97.119210101801045</v>
      </c>
      <c r="O55" s="50">
        <f t="shared" si="28"/>
        <v>0</v>
      </c>
      <c r="P55" s="50">
        <f t="shared" si="28"/>
        <v>-8.5912105331556834</v>
      </c>
    </row>
    <row r="56" spans="2:16" ht="12" x14ac:dyDescent="0.2">
      <c r="B56" s="64" t="s">
        <v>19</v>
      </c>
      <c r="C56" s="50">
        <f t="shared" si="28"/>
        <v>-35.294117647058826</v>
      </c>
      <c r="D56" s="78">
        <f t="shared" si="28"/>
        <v>-13.736532083408468</v>
      </c>
      <c r="E56" s="50">
        <f t="shared" si="28"/>
        <v>0</v>
      </c>
      <c r="F56" s="50">
        <f t="shared" si="28"/>
        <v>29.277615050523266</v>
      </c>
      <c r="G56" s="92">
        <f t="shared" si="28"/>
        <v>0</v>
      </c>
      <c r="H56" s="78">
        <f t="shared" si="28"/>
        <v>0</v>
      </c>
      <c r="I56" s="50">
        <f t="shared" si="28"/>
        <v>-66.666666666666657</v>
      </c>
      <c r="J56" s="50">
        <f t="shared" si="28"/>
        <v>-97.249792286230118</v>
      </c>
      <c r="K56" s="92">
        <f t="shared" si="27"/>
        <v>-100</v>
      </c>
      <c r="L56" s="78">
        <f t="shared" si="27"/>
        <v>-100</v>
      </c>
      <c r="M56" s="92">
        <f t="shared" si="27"/>
        <v>0</v>
      </c>
      <c r="N56" s="78">
        <f t="shared" si="27"/>
        <v>0</v>
      </c>
      <c r="O56" s="50">
        <f t="shared" si="28"/>
        <v>-32</v>
      </c>
      <c r="P56" s="50">
        <f t="shared" si="28"/>
        <v>-30.439620151496342</v>
      </c>
    </row>
    <row r="57" spans="2:16" ht="12" x14ac:dyDescent="0.2">
      <c r="B57" s="64" t="s">
        <v>20</v>
      </c>
      <c r="C57" s="50">
        <f t="shared" si="28"/>
        <v>63.636363636363633</v>
      </c>
      <c r="D57" s="78">
        <f t="shared" si="28"/>
        <v>210.96580195497395</v>
      </c>
      <c r="E57" s="50">
        <f t="shared" si="28"/>
        <v>400</v>
      </c>
      <c r="F57" s="50">
        <f t="shared" si="28"/>
        <v>206.96243807646275</v>
      </c>
      <c r="G57" s="92">
        <f t="shared" si="28"/>
        <v>-100</v>
      </c>
      <c r="H57" s="78">
        <f t="shared" si="28"/>
        <v>-100</v>
      </c>
      <c r="I57" s="50">
        <f t="shared" si="28"/>
        <v>0</v>
      </c>
      <c r="J57" s="50">
        <f t="shared" si="28"/>
        <v>0</v>
      </c>
      <c r="K57" s="92">
        <f t="shared" si="27"/>
        <v>0</v>
      </c>
      <c r="L57" s="78">
        <f t="shared" si="27"/>
        <v>0</v>
      </c>
      <c r="M57" s="92">
        <f t="shared" si="27"/>
        <v>0</v>
      </c>
      <c r="N57" s="78">
        <f t="shared" si="27"/>
        <v>0</v>
      </c>
      <c r="O57" s="50">
        <f t="shared" si="28"/>
        <v>78.571428571428569</v>
      </c>
      <c r="P57" s="50">
        <f t="shared" si="28"/>
        <v>-50.419797313401105</v>
      </c>
    </row>
    <row r="58" spans="2:16" s="9" customFormat="1" ht="12" x14ac:dyDescent="0.2">
      <c r="B58" s="51" t="s">
        <v>21</v>
      </c>
      <c r="C58" s="67">
        <f t="shared" si="28"/>
        <v>4.7619047619047619</v>
      </c>
      <c r="D58" s="83">
        <f t="shared" si="28"/>
        <v>85.190219820778012</v>
      </c>
      <c r="E58" s="67">
        <f t="shared" si="28"/>
        <v>54.54545454545454</v>
      </c>
      <c r="F58" s="67">
        <f t="shared" si="28"/>
        <v>116.64181733938446</v>
      </c>
      <c r="G58" s="93">
        <f t="shared" si="28"/>
        <v>-100</v>
      </c>
      <c r="H58" s="83">
        <f t="shared" si="28"/>
        <v>-100</v>
      </c>
      <c r="I58" s="67">
        <f t="shared" si="28"/>
        <v>0</v>
      </c>
      <c r="J58" s="67">
        <f t="shared" si="28"/>
        <v>-53.219319711601486</v>
      </c>
      <c r="K58" s="93">
        <f t="shared" si="27"/>
        <v>-100</v>
      </c>
      <c r="L58" s="83">
        <f t="shared" si="27"/>
        <v>-100</v>
      </c>
      <c r="M58" s="93">
        <f t="shared" si="27"/>
        <v>0</v>
      </c>
      <c r="N58" s="83">
        <f t="shared" si="27"/>
        <v>-92.534048180166735</v>
      </c>
      <c r="O58" s="67">
        <f t="shared" si="28"/>
        <v>4.6153846153846159</v>
      </c>
      <c r="P58" s="67">
        <f t="shared" si="28"/>
        <v>-33.223402261008985</v>
      </c>
    </row>
    <row r="59" spans="2:16" ht="12" x14ac:dyDescent="0.2">
      <c r="B59" s="64" t="s">
        <v>22</v>
      </c>
      <c r="C59" s="50">
        <f t="shared" si="28"/>
        <v>8.3333333333333321</v>
      </c>
      <c r="D59" s="78">
        <f t="shared" si="28"/>
        <v>-1.4901038896937671</v>
      </c>
      <c r="E59" s="50">
        <f t="shared" si="28"/>
        <v>0</v>
      </c>
      <c r="F59" s="50">
        <f t="shared" si="28"/>
        <v>-100</v>
      </c>
      <c r="G59" s="92">
        <f t="shared" si="28"/>
        <v>-50</v>
      </c>
      <c r="H59" s="78">
        <f t="shared" si="28"/>
        <v>-88.793267539871309</v>
      </c>
      <c r="I59" s="50">
        <f t="shared" si="28"/>
        <v>0</v>
      </c>
      <c r="J59" s="50">
        <f t="shared" si="28"/>
        <v>0</v>
      </c>
      <c r="K59" s="92">
        <f t="shared" si="27"/>
        <v>0</v>
      </c>
      <c r="L59" s="78">
        <f t="shared" si="27"/>
        <v>0</v>
      </c>
      <c r="M59" s="92">
        <f t="shared" si="27"/>
        <v>-100</v>
      </c>
      <c r="N59" s="78">
        <f t="shared" si="27"/>
        <v>-100</v>
      </c>
      <c r="O59" s="50">
        <f t="shared" si="28"/>
        <v>17.647058823529413</v>
      </c>
      <c r="P59" s="50">
        <f t="shared" si="28"/>
        <v>-2.0050694193955532</v>
      </c>
    </row>
    <row r="60" spans="2:16" ht="12" x14ac:dyDescent="0.2">
      <c r="B60" s="64" t="s">
        <v>23</v>
      </c>
      <c r="C60" s="50">
        <f t="shared" si="28"/>
        <v>137.5</v>
      </c>
      <c r="D60" s="78">
        <f t="shared" si="28"/>
        <v>180.35880385437869</v>
      </c>
      <c r="E60" s="50">
        <f t="shared" si="28"/>
        <v>0</v>
      </c>
      <c r="F60" s="50">
        <f t="shared" si="28"/>
        <v>0</v>
      </c>
      <c r="G60" s="92">
        <f t="shared" si="28"/>
        <v>-55.555555555555557</v>
      </c>
      <c r="H60" s="78">
        <f t="shared" si="28"/>
        <v>-29.70617548780336</v>
      </c>
      <c r="I60" s="50">
        <f t="shared" si="28"/>
        <v>-33.333333333333329</v>
      </c>
      <c r="J60" s="50">
        <f t="shared" si="28"/>
        <v>-70.436953777649464</v>
      </c>
      <c r="K60" s="92">
        <f t="shared" si="27"/>
        <v>0</v>
      </c>
      <c r="L60" s="78">
        <f t="shared" si="27"/>
        <v>0</v>
      </c>
      <c r="M60" s="92">
        <f t="shared" si="27"/>
        <v>-100</v>
      </c>
      <c r="N60" s="78">
        <f t="shared" si="27"/>
        <v>-100</v>
      </c>
      <c r="O60" s="50">
        <f t="shared" si="28"/>
        <v>42.857142857142854</v>
      </c>
      <c r="P60" s="50">
        <f t="shared" si="28"/>
        <v>58.784669310507496</v>
      </c>
    </row>
    <row r="61" spans="2:16" ht="12" x14ac:dyDescent="0.2">
      <c r="B61" s="64" t="s">
        <v>36</v>
      </c>
      <c r="C61" s="50">
        <f t="shared" si="28"/>
        <v>100</v>
      </c>
      <c r="D61" s="78">
        <f t="shared" si="28"/>
        <v>409.1032778548074</v>
      </c>
      <c r="E61" s="50">
        <f t="shared" si="28"/>
        <v>0</v>
      </c>
      <c r="F61" s="50">
        <f t="shared" si="28"/>
        <v>0</v>
      </c>
      <c r="G61" s="92">
        <f t="shared" si="28"/>
        <v>-50</v>
      </c>
      <c r="H61" s="78">
        <f t="shared" si="28"/>
        <v>100.19660665479013</v>
      </c>
      <c r="I61" s="50">
        <f t="shared" si="28"/>
        <v>200</v>
      </c>
      <c r="J61" s="50">
        <f t="shared" si="28"/>
        <v>496.36946560589683</v>
      </c>
      <c r="K61" s="92">
        <f t="shared" si="27"/>
        <v>0</v>
      </c>
      <c r="L61" s="78">
        <f t="shared" si="27"/>
        <v>0</v>
      </c>
      <c r="M61" s="92">
        <f t="shared" si="27"/>
        <v>-100</v>
      </c>
      <c r="N61" s="78">
        <f t="shared" si="27"/>
        <v>-100</v>
      </c>
      <c r="O61" s="50">
        <f t="shared" si="28"/>
        <v>106.66666666666667</v>
      </c>
      <c r="P61" s="50">
        <f t="shared" si="28"/>
        <v>455.24199636381297</v>
      </c>
    </row>
    <row r="62" spans="2:16" s="9" customFormat="1" ht="12" x14ac:dyDescent="0.2">
      <c r="B62" s="51" t="s">
        <v>24</v>
      </c>
      <c r="C62" s="67">
        <f t="shared" si="28"/>
        <v>72.41379310344827</v>
      </c>
      <c r="D62" s="83">
        <f t="shared" si="28"/>
        <v>123.44178234009505</v>
      </c>
      <c r="E62" s="67">
        <f t="shared" si="28"/>
        <v>1000</v>
      </c>
      <c r="F62" s="67">
        <f t="shared" si="28"/>
        <v>2005.0701617990019</v>
      </c>
      <c r="G62" s="93">
        <f t="shared" si="28"/>
        <v>-53.333333333333336</v>
      </c>
      <c r="H62" s="83">
        <f t="shared" si="28"/>
        <v>-33.563911702873241</v>
      </c>
      <c r="I62" s="67">
        <f t="shared" si="28"/>
        <v>150</v>
      </c>
      <c r="J62" s="67">
        <f t="shared" si="28"/>
        <v>128.14211548157317</v>
      </c>
      <c r="K62" s="93">
        <f t="shared" si="27"/>
        <v>0</v>
      </c>
      <c r="L62" s="83">
        <f t="shared" si="27"/>
        <v>0</v>
      </c>
      <c r="M62" s="93">
        <f t="shared" si="27"/>
        <v>-100</v>
      </c>
      <c r="N62" s="83">
        <f t="shared" si="27"/>
        <v>-100</v>
      </c>
      <c r="O62" s="67">
        <f t="shared" si="28"/>
        <v>52.830188679245282</v>
      </c>
      <c r="P62" s="67">
        <f t="shared" si="28"/>
        <v>97.168862506426706</v>
      </c>
    </row>
    <row r="63" spans="2:16" ht="12" x14ac:dyDescent="0.2">
      <c r="B63" s="64" t="s">
        <v>25</v>
      </c>
      <c r="C63" s="50">
        <f t="shared" si="28"/>
        <v>200</v>
      </c>
      <c r="D63" s="78">
        <f t="shared" si="28"/>
        <v>446.75190349745992</v>
      </c>
      <c r="E63" s="50">
        <f t="shared" si="28"/>
        <v>133.33333333333331</v>
      </c>
      <c r="F63" s="50">
        <f t="shared" si="28"/>
        <v>108.27139578086525</v>
      </c>
      <c r="G63" s="92">
        <f t="shared" si="28"/>
        <v>100</v>
      </c>
      <c r="H63" s="78">
        <f t="shared" si="28"/>
        <v>12012.35167113657</v>
      </c>
      <c r="I63" s="50">
        <f t="shared" si="28"/>
        <v>0</v>
      </c>
      <c r="J63" s="50">
        <f t="shared" si="28"/>
        <v>0</v>
      </c>
      <c r="K63" s="92">
        <f t="shared" si="27"/>
        <v>0</v>
      </c>
      <c r="L63" s="78">
        <f t="shared" si="27"/>
        <v>0</v>
      </c>
      <c r="M63" s="92">
        <f t="shared" si="27"/>
        <v>0</v>
      </c>
      <c r="N63" s="78">
        <f t="shared" si="27"/>
        <v>0</v>
      </c>
      <c r="O63" s="50">
        <f t="shared" si="28"/>
        <v>177.77777777777777</v>
      </c>
      <c r="P63" s="50">
        <f t="shared" si="28"/>
        <v>2727.4595427880372</v>
      </c>
    </row>
    <row r="64" spans="2:16" ht="12" x14ac:dyDescent="0.2">
      <c r="B64" s="64" t="s">
        <v>26</v>
      </c>
      <c r="C64" s="50">
        <f t="shared" si="28"/>
        <v>0</v>
      </c>
      <c r="D64" s="78">
        <f t="shared" si="28"/>
        <v>36.330732990012372</v>
      </c>
      <c r="E64" s="50">
        <f t="shared" si="28"/>
        <v>100</v>
      </c>
      <c r="F64" s="50">
        <f t="shared" si="28"/>
        <v>328.51035841582876</v>
      </c>
      <c r="G64" s="92">
        <f t="shared" si="28"/>
        <v>0</v>
      </c>
      <c r="H64" s="78">
        <f t="shared" si="28"/>
        <v>-28.091863762859877</v>
      </c>
      <c r="I64" s="50">
        <f t="shared" si="28"/>
        <v>0</v>
      </c>
      <c r="J64" s="50">
        <f t="shared" si="28"/>
        <v>0</v>
      </c>
      <c r="K64" s="92">
        <f t="shared" si="27"/>
        <v>-100</v>
      </c>
      <c r="L64" s="78">
        <f t="shared" si="27"/>
        <v>-100</v>
      </c>
      <c r="M64" s="92">
        <f t="shared" si="27"/>
        <v>0</v>
      </c>
      <c r="N64" s="78">
        <f t="shared" si="27"/>
        <v>0</v>
      </c>
      <c r="O64" s="50">
        <f t="shared" si="28"/>
        <v>5.8823529411764701</v>
      </c>
      <c r="P64" s="50">
        <f t="shared" si="28"/>
        <v>41.543895321421267</v>
      </c>
    </row>
    <row r="65" spans="1:18" ht="12" x14ac:dyDescent="0.2">
      <c r="B65" s="64" t="s">
        <v>27</v>
      </c>
      <c r="C65" s="50">
        <f t="shared" si="28"/>
        <v>0</v>
      </c>
      <c r="D65" s="78">
        <f t="shared" si="28"/>
        <v>69.379509062558682</v>
      </c>
      <c r="E65" s="50">
        <f t="shared" si="28"/>
        <v>900</v>
      </c>
      <c r="F65" s="50">
        <f t="shared" si="28"/>
        <v>1100.08040358004</v>
      </c>
      <c r="G65" s="92">
        <f t="shared" si="28"/>
        <v>0</v>
      </c>
      <c r="H65" s="78">
        <f t="shared" si="28"/>
        <v>0</v>
      </c>
      <c r="I65" s="50">
        <f t="shared" si="28"/>
        <v>0</v>
      </c>
      <c r="J65" s="50">
        <f t="shared" si="28"/>
        <v>0</v>
      </c>
      <c r="K65" s="92">
        <f t="shared" si="27"/>
        <v>0</v>
      </c>
      <c r="L65" s="78">
        <f t="shared" si="27"/>
        <v>0</v>
      </c>
      <c r="M65" s="92">
        <f t="shared" si="27"/>
        <v>0</v>
      </c>
      <c r="N65" s="78">
        <f t="shared" si="27"/>
        <v>0</v>
      </c>
      <c r="O65" s="50">
        <f t="shared" si="28"/>
        <v>150</v>
      </c>
      <c r="P65" s="50">
        <f t="shared" si="28"/>
        <v>767.55861664948895</v>
      </c>
    </row>
    <row r="66" spans="1:18" s="9" customFormat="1" ht="12" x14ac:dyDescent="0.2">
      <c r="B66" s="51" t="s">
        <v>28</v>
      </c>
      <c r="C66" s="67">
        <f t="shared" si="28"/>
        <v>33.333333333333329</v>
      </c>
      <c r="D66" s="83">
        <f t="shared" si="28"/>
        <v>127.99422854150238</v>
      </c>
      <c r="E66" s="67">
        <f t="shared" si="28"/>
        <v>280</v>
      </c>
      <c r="F66" s="67">
        <f t="shared" si="28"/>
        <v>356.75681914989696</v>
      </c>
      <c r="G66" s="93">
        <f t="shared" si="28"/>
        <v>300</v>
      </c>
      <c r="H66" s="83">
        <f t="shared" si="28"/>
        <v>5902.6204057524592</v>
      </c>
      <c r="I66" s="67">
        <f t="shared" si="28"/>
        <v>0</v>
      </c>
      <c r="J66" s="67">
        <f t="shared" si="28"/>
        <v>0</v>
      </c>
      <c r="K66" s="93">
        <f t="shared" si="27"/>
        <v>-100</v>
      </c>
      <c r="L66" s="83">
        <f t="shared" si="27"/>
        <v>-100</v>
      </c>
      <c r="M66" s="93">
        <f t="shared" si="27"/>
        <v>0</v>
      </c>
      <c r="N66" s="83">
        <f t="shared" si="27"/>
        <v>0</v>
      </c>
      <c r="O66" s="67">
        <f t="shared" si="28"/>
        <v>92.10526315789474</v>
      </c>
      <c r="P66" s="67">
        <f t="shared" si="28"/>
        <v>985.56188229523104</v>
      </c>
    </row>
    <row r="67" spans="1:18" s="9" customFormat="1" ht="12.75" thickBot="1" x14ac:dyDescent="0.25">
      <c r="B67" s="65" t="s">
        <v>35</v>
      </c>
      <c r="C67" s="66">
        <f t="shared" si="28"/>
        <v>11.564625850340136</v>
      </c>
      <c r="D67" s="84">
        <f t="shared" si="28"/>
        <v>52.798995486208455</v>
      </c>
      <c r="E67" s="66">
        <f t="shared" si="28"/>
        <v>160</v>
      </c>
      <c r="F67" s="66">
        <f t="shared" si="28"/>
        <v>255.15897406486977</v>
      </c>
      <c r="G67" s="94">
        <f t="shared" si="28"/>
        <v>-23.809523809523807</v>
      </c>
      <c r="H67" s="84">
        <f t="shared" si="28"/>
        <v>270.90286576045742</v>
      </c>
      <c r="I67" s="66">
        <f t="shared" si="28"/>
        <v>109.09090909090908</v>
      </c>
      <c r="J67" s="66">
        <f t="shared" si="28"/>
        <v>222.51437291832721</v>
      </c>
      <c r="K67" s="94">
        <f t="shared" si="27"/>
        <v>100</v>
      </c>
      <c r="L67" s="84">
        <f t="shared" si="27"/>
        <v>18.300515735527743</v>
      </c>
      <c r="M67" s="94">
        <f t="shared" si="27"/>
        <v>16.666666666666664</v>
      </c>
      <c r="N67" s="84">
        <f t="shared" si="27"/>
        <v>-91.648477616251185</v>
      </c>
      <c r="O67" s="66">
        <f t="shared" si="28"/>
        <v>28.502415458937197</v>
      </c>
      <c r="P67" s="66">
        <f t="shared" si="28"/>
        <v>130.87263929941986</v>
      </c>
    </row>
    <row r="68" spans="1:18" s="9" customFormat="1" ht="12" x14ac:dyDescent="0.2">
      <c r="B68" s="58"/>
      <c r="C68" s="59"/>
      <c r="D68" s="60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</row>
    <row r="69" spans="1:18" ht="12" x14ac:dyDescent="0.2">
      <c r="B69" s="183" t="s">
        <v>114</v>
      </c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69"/>
      <c r="R69" s="169"/>
    </row>
    <row r="70" spans="1:18" ht="12.75" x14ac:dyDescent="0.2">
      <c r="B70" s="36"/>
      <c r="C70" s="2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23"/>
      <c r="P70" s="23"/>
    </row>
    <row r="71" spans="1:18" customFormat="1" ht="12.75" x14ac:dyDescent="0.2">
      <c r="A71" s="4"/>
      <c r="B71" s="36" t="s">
        <v>47</v>
      </c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</row>
    <row r="72" spans="1:18" s="23" customFormat="1" ht="15.75" x14ac:dyDescent="0.25">
      <c r="B72" s="38"/>
      <c r="C72" s="38"/>
      <c r="D72" s="38"/>
      <c r="E72" s="38"/>
      <c r="F72" s="38"/>
      <c r="G72" s="38"/>
      <c r="H72" s="2"/>
      <c r="I72" s="2"/>
      <c r="J72" s="2"/>
    </row>
    <row r="73" spans="1:18" s="23" customFormat="1" ht="12.75" x14ac:dyDescent="0.2">
      <c r="A73" s="62"/>
      <c r="B73" s="36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</row>
    <row r="74" spans="1:18" ht="15.75" x14ac:dyDescent="0.25">
      <c r="B74" s="61"/>
    </row>
  </sheetData>
  <mergeCells count="9">
    <mergeCell ref="B69:P69"/>
    <mergeCell ref="C9:P9"/>
    <mergeCell ref="C10:D10"/>
    <mergeCell ref="E10:F10"/>
    <mergeCell ref="G10:H10"/>
    <mergeCell ref="I10:J10"/>
    <mergeCell ref="M10:N10"/>
    <mergeCell ref="K10:L10"/>
    <mergeCell ref="O10:P10"/>
  </mergeCells>
  <pageMargins left="0.75" right="0.75" top="0.55000000000000004" bottom="0.51" header="0.5" footer="0.5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R72"/>
  <sheetViews>
    <sheetView zoomScaleNormal="100" workbookViewId="0">
      <pane xSplit="2" ySplit="11" topLeftCell="C39" activePane="bottomRight" state="frozen"/>
      <selection pane="topRight" activeCell="C1" sqref="C1"/>
      <selection pane="bottomLeft" activeCell="A12" sqref="A12"/>
      <selection pane="bottomRight" activeCell="Q13" sqref="Q13"/>
    </sheetView>
  </sheetViews>
  <sheetFormatPr defaultRowHeight="11.25" x14ac:dyDescent="0.2"/>
  <cols>
    <col min="1" max="1" width="1.140625" style="2" customWidth="1"/>
    <col min="2" max="2" width="12" style="2" customWidth="1"/>
    <col min="3" max="3" width="8" style="2" bestFit="1" customWidth="1"/>
    <col min="4" max="4" width="12.5703125" style="2" bestFit="1" customWidth="1"/>
    <col min="5" max="5" width="8" style="2" bestFit="1" customWidth="1"/>
    <col min="6" max="6" width="13.5703125" style="2" bestFit="1" customWidth="1"/>
    <col min="7" max="7" width="8.7109375" style="2" bestFit="1" customWidth="1"/>
    <col min="8" max="8" width="13.5703125" style="2" bestFit="1" customWidth="1"/>
    <col min="9" max="9" width="8.7109375" style="2" bestFit="1" customWidth="1"/>
    <col min="10" max="10" width="12.5703125" style="2" bestFit="1" customWidth="1"/>
    <col min="11" max="11" width="8.7109375" style="2" bestFit="1" customWidth="1"/>
    <col min="12" max="12" width="11.7109375" style="2" bestFit="1" customWidth="1"/>
    <col min="13" max="13" width="8.7109375" style="2" bestFit="1" customWidth="1"/>
    <col min="14" max="14" width="11.7109375" style="2" bestFit="1" customWidth="1"/>
    <col min="15" max="15" width="7.42578125" style="9" bestFit="1" customWidth="1"/>
    <col min="16" max="16" width="13.5703125" style="9" bestFit="1" customWidth="1"/>
    <col min="17" max="16384" width="9.140625" style="2"/>
  </cols>
  <sheetData>
    <row r="2" spans="2:16" s="23" customFormat="1" ht="12.75" x14ac:dyDescent="0.2">
      <c r="B2" s="24" t="str">
        <f ca="1">MID(CELL("filename",A1),FIND("]",CELL("filename",A1))+1,255)</f>
        <v>Table 2.4.3-B4</v>
      </c>
    </row>
    <row r="3" spans="2:16" s="23" customFormat="1" ht="12.75" x14ac:dyDescent="0.2"/>
    <row r="4" spans="2:16" s="23" customFormat="1" ht="12.75" x14ac:dyDescent="0.2">
      <c r="B4" s="1" t="s">
        <v>6</v>
      </c>
    </row>
    <row r="5" spans="2:16" s="23" customFormat="1" ht="12.75" x14ac:dyDescent="0.2">
      <c r="B5" s="1" t="s">
        <v>12</v>
      </c>
    </row>
    <row r="6" spans="2:16" s="23" customFormat="1" ht="12.75" x14ac:dyDescent="0.2">
      <c r="B6" s="1" t="s">
        <v>101</v>
      </c>
    </row>
    <row r="7" spans="2:16" s="23" customFormat="1" ht="12.75" x14ac:dyDescent="0.2">
      <c r="B7" s="1" t="s">
        <v>67</v>
      </c>
    </row>
    <row r="8" spans="2:16" ht="12.75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6" ht="12" x14ac:dyDescent="0.2">
      <c r="B9" s="46"/>
      <c r="C9" s="182" t="s">
        <v>13</v>
      </c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</row>
    <row r="10" spans="2:16" ht="29.25" customHeight="1" x14ac:dyDescent="0.2">
      <c r="B10" s="44"/>
      <c r="C10" s="184" t="s">
        <v>32</v>
      </c>
      <c r="D10" s="185"/>
      <c r="E10" s="186" t="s">
        <v>70</v>
      </c>
      <c r="F10" s="186"/>
      <c r="G10" s="184" t="s">
        <v>31</v>
      </c>
      <c r="H10" s="185"/>
      <c r="I10" s="186" t="s">
        <v>30</v>
      </c>
      <c r="J10" s="185"/>
      <c r="K10" s="184" t="s">
        <v>34</v>
      </c>
      <c r="L10" s="185"/>
      <c r="M10" s="184" t="s">
        <v>33</v>
      </c>
      <c r="N10" s="185"/>
      <c r="O10" s="186" t="s">
        <v>35</v>
      </c>
      <c r="P10" s="186"/>
    </row>
    <row r="11" spans="2:16" ht="12" x14ac:dyDescent="0.2">
      <c r="B11" s="45" t="s">
        <v>29</v>
      </c>
      <c r="C11" s="146" t="s">
        <v>2</v>
      </c>
      <c r="D11" s="147" t="s">
        <v>3</v>
      </c>
      <c r="E11" s="148" t="s">
        <v>2</v>
      </c>
      <c r="F11" s="148" t="s">
        <v>3</v>
      </c>
      <c r="G11" s="154" t="s">
        <v>2</v>
      </c>
      <c r="H11" s="153" t="s">
        <v>3</v>
      </c>
      <c r="I11" s="148" t="s">
        <v>2</v>
      </c>
      <c r="J11" s="147" t="s">
        <v>3</v>
      </c>
      <c r="K11" s="146" t="s">
        <v>2</v>
      </c>
      <c r="L11" s="147" t="s">
        <v>3</v>
      </c>
      <c r="M11" s="146" t="s">
        <v>2</v>
      </c>
      <c r="N11" s="147" t="s">
        <v>3</v>
      </c>
      <c r="O11" s="148" t="s">
        <v>2</v>
      </c>
      <c r="P11" s="148" t="s">
        <v>3</v>
      </c>
    </row>
    <row r="12" spans="2:16" ht="12.75" x14ac:dyDescent="0.2">
      <c r="B12" s="48">
        <v>2006</v>
      </c>
      <c r="C12" s="49"/>
      <c r="D12" s="77"/>
      <c r="E12" s="49"/>
      <c r="F12" s="49"/>
      <c r="G12" s="86"/>
      <c r="H12" s="77"/>
      <c r="I12" s="49"/>
      <c r="J12" s="49"/>
      <c r="K12" s="86"/>
      <c r="L12" s="77"/>
      <c r="M12" s="86"/>
      <c r="N12" s="77"/>
      <c r="O12" s="49"/>
      <c r="P12" s="49"/>
    </row>
    <row r="13" spans="2:16" s="15" customFormat="1" ht="12" x14ac:dyDescent="0.2">
      <c r="B13" s="64" t="s">
        <v>14</v>
      </c>
      <c r="C13" s="71">
        <f>'[6]Statisitcal Data'!C8</f>
        <v>14</v>
      </c>
      <c r="D13" s="78">
        <f>'[6]Statisitcal Data'!D8</f>
        <v>1580089.1400000001</v>
      </c>
      <c r="E13" s="71">
        <f>'[6]Statisitcal Data'!E8</f>
        <v>0</v>
      </c>
      <c r="F13" s="50">
        <f>'[6]Statisitcal Data'!F8</f>
        <v>0</v>
      </c>
      <c r="G13" s="87">
        <f>'[6]Statisitcal Data'!G8</f>
        <v>3</v>
      </c>
      <c r="H13" s="78">
        <f>'[6]Statisitcal Data'!H8</f>
        <v>1865815.1959999998</v>
      </c>
      <c r="I13" s="71">
        <f>'[6]Statisitcal Data'!I8</f>
        <v>1</v>
      </c>
      <c r="J13" s="50">
        <f>'[6]Statisitcal Data'!J8</f>
        <v>2654645.0559999999</v>
      </c>
      <c r="K13" s="87">
        <f>+'[6]Statisitcal Data'!K8</f>
        <v>0</v>
      </c>
      <c r="L13" s="78">
        <f>+'[6]Statisitcal Data'!L8</f>
        <v>0</v>
      </c>
      <c r="M13" s="87">
        <f>+'[6]Statisitcal Data'!M8</f>
        <v>0</v>
      </c>
      <c r="N13" s="78">
        <f>+'[6]Statisitcal Data'!N8</f>
        <v>0</v>
      </c>
      <c r="O13" s="71">
        <f t="shared" ref="O13:P15" si="0">+C13+E13+G13+I13+M13+K13</f>
        <v>18</v>
      </c>
      <c r="P13" s="50">
        <f t="shared" si="0"/>
        <v>6100549.392</v>
      </c>
    </row>
    <row r="14" spans="2:16" s="15" customFormat="1" ht="12" x14ac:dyDescent="0.2">
      <c r="B14" s="64" t="s">
        <v>15</v>
      </c>
      <c r="C14" s="71">
        <f>'[6]Statisitcal Data'!C9</f>
        <v>14</v>
      </c>
      <c r="D14" s="78">
        <f>'[6]Statisitcal Data'!D9</f>
        <v>2244603.9840000002</v>
      </c>
      <c r="E14" s="71">
        <f>'[6]Statisitcal Data'!E9</f>
        <v>4</v>
      </c>
      <c r="F14" s="50">
        <f>'[6]Statisitcal Data'!F9</f>
        <v>1498800.1839999999</v>
      </c>
      <c r="G14" s="87">
        <f>'[6]Statisitcal Data'!G9</f>
        <v>0</v>
      </c>
      <c r="H14" s="78">
        <f>'[6]Statisitcal Data'!H9</f>
        <v>0</v>
      </c>
      <c r="I14" s="71">
        <f>'[6]Statisitcal Data'!I9</f>
        <v>1</v>
      </c>
      <c r="J14" s="50">
        <f>'[6]Statisitcal Data'!J9</f>
        <v>2265270</v>
      </c>
      <c r="K14" s="87">
        <f>+'[6]Statisitcal Data'!K9</f>
        <v>0</v>
      </c>
      <c r="L14" s="78">
        <f>+'[6]Statisitcal Data'!L9</f>
        <v>0</v>
      </c>
      <c r="M14" s="87">
        <f>+'[6]Statisitcal Data'!M9</f>
        <v>3</v>
      </c>
      <c r="N14" s="78">
        <f>+'[6]Statisitcal Data'!N9</f>
        <v>867134.1</v>
      </c>
      <c r="O14" s="71">
        <f t="shared" si="0"/>
        <v>22</v>
      </c>
      <c r="P14" s="50">
        <f t="shared" si="0"/>
        <v>6875808.2679999992</v>
      </c>
    </row>
    <row r="15" spans="2:16" s="15" customFormat="1" ht="12" x14ac:dyDescent="0.2">
      <c r="B15" s="64" t="s">
        <v>16</v>
      </c>
      <c r="C15" s="71">
        <f>'[6]Statisitcal Data'!C10</f>
        <v>23</v>
      </c>
      <c r="D15" s="78">
        <f>'[6]Statisitcal Data'!D10</f>
        <v>2045946.8399999999</v>
      </c>
      <c r="E15" s="71">
        <f>'[6]Statisitcal Data'!E10</f>
        <v>1</v>
      </c>
      <c r="F15" s="50">
        <f>'[6]Statisitcal Data'!F10</f>
        <v>1334211.2</v>
      </c>
      <c r="G15" s="87">
        <f>'[6]Statisitcal Data'!G10</f>
        <v>1</v>
      </c>
      <c r="H15" s="78">
        <f>'[6]Statisitcal Data'!H10</f>
        <v>1786139.5999999999</v>
      </c>
      <c r="I15" s="71">
        <f>'[6]Statisitcal Data'!I10</f>
        <v>3</v>
      </c>
      <c r="J15" s="50">
        <f>'[6]Statisitcal Data'!J10</f>
        <v>5508686.3999999994</v>
      </c>
      <c r="K15" s="87">
        <f>+'[6]Statisitcal Data'!K10</f>
        <v>0</v>
      </c>
      <c r="L15" s="78">
        <f>+'[6]Statisitcal Data'!L10</f>
        <v>0</v>
      </c>
      <c r="M15" s="87">
        <f>+'[6]Statisitcal Data'!M10</f>
        <v>1</v>
      </c>
      <c r="N15" s="78">
        <f>+'[6]Statisitcal Data'!N10</f>
        <v>0</v>
      </c>
      <c r="O15" s="71">
        <f t="shared" si="0"/>
        <v>29</v>
      </c>
      <c r="P15" s="50">
        <f t="shared" si="0"/>
        <v>10674984.039999999</v>
      </c>
    </row>
    <row r="16" spans="2:16" s="15" customFormat="1" ht="12" x14ac:dyDescent="0.2">
      <c r="B16" s="51" t="s">
        <v>17</v>
      </c>
      <c r="C16" s="72">
        <f>SUM(C13:C15)</f>
        <v>51</v>
      </c>
      <c r="D16" s="79">
        <f>SUM(D13:D15)</f>
        <v>5870639.9639999997</v>
      </c>
      <c r="E16" s="72">
        <f t="shared" ref="E16:J16" si="1">SUM(E13:E15)</f>
        <v>5</v>
      </c>
      <c r="F16" s="52">
        <f t="shared" si="1"/>
        <v>2833011.3839999996</v>
      </c>
      <c r="G16" s="88">
        <f t="shared" si="1"/>
        <v>4</v>
      </c>
      <c r="H16" s="79">
        <f t="shared" si="1"/>
        <v>3651954.7959999996</v>
      </c>
      <c r="I16" s="72">
        <f t="shared" si="1"/>
        <v>5</v>
      </c>
      <c r="J16" s="52">
        <f t="shared" si="1"/>
        <v>10428601.456</v>
      </c>
      <c r="K16" s="88">
        <f>SUM(K13:K15)</f>
        <v>0</v>
      </c>
      <c r="L16" s="79">
        <f>SUM(L13:L15)</f>
        <v>0</v>
      </c>
      <c r="M16" s="88">
        <f>SUM(M13:M15)</f>
        <v>4</v>
      </c>
      <c r="N16" s="79">
        <f>SUM(N13:N15)</f>
        <v>867134.1</v>
      </c>
      <c r="O16" s="72">
        <f t="shared" ref="O16:O29" si="2">+C16+E16+G16+I16+M16+K16</f>
        <v>69</v>
      </c>
      <c r="P16" s="52">
        <f>SUM(P13:P15)</f>
        <v>23651341.699999999</v>
      </c>
    </row>
    <row r="17" spans="2:16" s="15" customFormat="1" ht="12" x14ac:dyDescent="0.2">
      <c r="B17" s="64" t="s">
        <v>18</v>
      </c>
      <c r="C17" s="71">
        <f>'[6]Statisitcal Data'!C12</f>
        <v>14</v>
      </c>
      <c r="D17" s="78">
        <f>'[6]Statisitcal Data'!D12</f>
        <v>1983401</v>
      </c>
      <c r="E17" s="71">
        <f>'[6]Statisitcal Data'!E12</f>
        <v>8</v>
      </c>
      <c r="F17" s="50">
        <f>'[6]Statisitcal Data'!F12</f>
        <v>4892928.7960000001</v>
      </c>
      <c r="G17" s="87">
        <f>'[6]Statisitcal Data'!G12</f>
        <v>3</v>
      </c>
      <c r="H17" s="78">
        <f>'[6]Statisitcal Data'!H12</f>
        <v>1473461.0520000001</v>
      </c>
      <c r="I17" s="71">
        <f>'[6]Statisitcal Data'!I12</f>
        <v>1</v>
      </c>
      <c r="J17" s="50">
        <f>'[6]Statisitcal Data'!J12</f>
        <v>445276.10399999999</v>
      </c>
      <c r="K17" s="87">
        <f>+'[6]Statisitcal Data'!K12</f>
        <v>0</v>
      </c>
      <c r="L17" s="78">
        <f>+'[6]Statisitcal Data'!L12</f>
        <v>0</v>
      </c>
      <c r="M17" s="87">
        <f>+'[6]Statisitcal Data'!M12</f>
        <v>0</v>
      </c>
      <c r="N17" s="78">
        <f>+'[6]Statisitcal Data'!N12</f>
        <v>0</v>
      </c>
      <c r="O17" s="71">
        <f t="shared" si="2"/>
        <v>26</v>
      </c>
      <c r="P17" s="50">
        <f>+D17+F17+H17+J17+N17+L17</f>
        <v>8795066.9519999996</v>
      </c>
    </row>
    <row r="18" spans="2:16" s="15" customFormat="1" ht="12" x14ac:dyDescent="0.2">
      <c r="B18" s="64" t="s">
        <v>19</v>
      </c>
      <c r="C18" s="71">
        <f>'[6]Statisitcal Data'!C13</f>
        <v>14</v>
      </c>
      <c r="D18" s="78">
        <f>'[6]Statisitcal Data'!D13</f>
        <v>2045946.8399999999</v>
      </c>
      <c r="E18" s="71">
        <f>'[6]Statisitcal Data'!E13</f>
        <v>4</v>
      </c>
      <c r="F18" s="50">
        <f>'[6]Statisitcal Data'!F13</f>
        <v>1334211.2</v>
      </c>
      <c r="G18" s="87">
        <f>'[6]Statisitcal Data'!G13</f>
        <v>1</v>
      </c>
      <c r="H18" s="78">
        <f>'[6]Statisitcal Data'!H13</f>
        <v>1786139.5999999999</v>
      </c>
      <c r="I18" s="71">
        <f>'[6]Statisitcal Data'!I13</f>
        <v>3</v>
      </c>
      <c r="J18" s="50">
        <f>'[6]Statisitcal Data'!J13</f>
        <v>5508686.3999999994</v>
      </c>
      <c r="K18" s="87">
        <f>+'[6]Statisitcal Data'!K13</f>
        <v>0</v>
      </c>
      <c r="L18" s="78">
        <f>+'[6]Statisitcal Data'!L13</f>
        <v>0</v>
      </c>
      <c r="M18" s="87">
        <f>+'[6]Statisitcal Data'!M13</f>
        <v>0</v>
      </c>
      <c r="N18" s="78">
        <f>+'[6]Statisitcal Data'!N13</f>
        <v>0</v>
      </c>
      <c r="O18" s="71">
        <f t="shared" si="2"/>
        <v>22</v>
      </c>
      <c r="P18" s="50">
        <f>+D18+F18+H18+J18+N18+L18</f>
        <v>10674984.039999999</v>
      </c>
    </row>
    <row r="19" spans="2:16" s="15" customFormat="1" ht="12" x14ac:dyDescent="0.2">
      <c r="B19" s="64" t="s">
        <v>20</v>
      </c>
      <c r="C19" s="71">
        <f>'[6]Statisitcal Data'!C14</f>
        <v>13</v>
      </c>
      <c r="D19" s="78">
        <f>'[6]Statisitcal Data'!D14</f>
        <v>1911936.656</v>
      </c>
      <c r="E19" s="71">
        <f>'[6]Statisitcal Data'!E14</f>
        <v>2</v>
      </c>
      <c r="F19" s="50">
        <f>'[6]Statisitcal Data'!F14</f>
        <v>362525.74400000001</v>
      </c>
      <c r="G19" s="87">
        <f>'[6]Statisitcal Data'!G14</f>
        <v>0</v>
      </c>
      <c r="H19" s="78">
        <f>'[6]Statisitcal Data'!H14</f>
        <v>0</v>
      </c>
      <c r="I19" s="71">
        <f>'[6]Statisitcal Data'!I14</f>
        <v>3</v>
      </c>
      <c r="J19" s="50">
        <f>'[6]Statisitcal Data'!J14</f>
        <v>1315451.2</v>
      </c>
      <c r="K19" s="87">
        <f>+'[6]Statisitcal Data'!K14</f>
        <v>0</v>
      </c>
      <c r="L19" s="78">
        <f>+'[6]Statisitcal Data'!L14</f>
        <v>0</v>
      </c>
      <c r="M19" s="87">
        <f>+'[6]Statisitcal Data'!M14</f>
        <v>1</v>
      </c>
      <c r="N19" s="78">
        <f>+'[6]Statisitcal Data'!N14</f>
        <v>1040804.7999999999</v>
      </c>
      <c r="O19" s="71">
        <f t="shared" si="2"/>
        <v>19</v>
      </c>
      <c r="P19" s="50">
        <f>+D19+F19+H19+J19+N19+L19</f>
        <v>4630718.3999999994</v>
      </c>
    </row>
    <row r="20" spans="2:16" s="15" customFormat="1" ht="12" x14ac:dyDescent="0.2">
      <c r="B20" s="51" t="s">
        <v>21</v>
      </c>
      <c r="C20" s="72">
        <f t="shared" ref="C20:J20" si="3">SUM(C17:C19)</f>
        <v>41</v>
      </c>
      <c r="D20" s="79">
        <f t="shared" si="3"/>
        <v>5941284.4959999993</v>
      </c>
      <c r="E20" s="72">
        <f>SUM(E17:E19)</f>
        <v>14</v>
      </c>
      <c r="F20" s="52">
        <f t="shared" si="3"/>
        <v>6589665.7400000002</v>
      </c>
      <c r="G20" s="88">
        <f t="shared" si="3"/>
        <v>4</v>
      </c>
      <c r="H20" s="79">
        <f t="shared" si="3"/>
        <v>3259600.6519999998</v>
      </c>
      <c r="I20" s="72">
        <f>SUM(I17:I19)</f>
        <v>7</v>
      </c>
      <c r="J20" s="52">
        <f t="shared" si="3"/>
        <v>7269413.7039999999</v>
      </c>
      <c r="K20" s="88">
        <f>SUM(K17:K19)</f>
        <v>0</v>
      </c>
      <c r="L20" s="79">
        <f>SUM(L17:L19)</f>
        <v>0</v>
      </c>
      <c r="M20" s="88">
        <f>SUM(M17:M19)</f>
        <v>1</v>
      </c>
      <c r="N20" s="79">
        <f>SUM(N17:N19)</f>
        <v>1040804.7999999999</v>
      </c>
      <c r="O20" s="72">
        <f t="shared" si="2"/>
        <v>67</v>
      </c>
      <c r="P20" s="52">
        <f>SUM(P17:P19)</f>
        <v>24100769.391999997</v>
      </c>
    </row>
    <row r="21" spans="2:16" s="15" customFormat="1" ht="12" x14ac:dyDescent="0.2">
      <c r="B21" s="64" t="s">
        <v>22</v>
      </c>
      <c r="C21" s="71">
        <f>'[6]Statisitcal Data'!C16</f>
        <v>12</v>
      </c>
      <c r="D21" s="78">
        <f>'[6]Statisitcal Data'!D16</f>
        <v>2314588.1639999999</v>
      </c>
      <c r="E21" s="71">
        <f>'[6]Statisitcal Data'!E16</f>
        <v>4</v>
      </c>
      <c r="F21" s="50">
        <f>'[6]Statisitcal Data'!F16</f>
        <v>1914399.8439999998</v>
      </c>
      <c r="G21" s="87">
        <f>'[6]Statisitcal Data'!G16</f>
        <v>1</v>
      </c>
      <c r="H21" s="78">
        <f>'[6]Statisitcal Data'!H16</f>
        <v>837277.56</v>
      </c>
      <c r="I21" s="71">
        <f>'[6]Statisitcal Data'!I16</f>
        <v>2</v>
      </c>
      <c r="J21" s="50">
        <f>'[6]Statisitcal Data'!J16</f>
        <v>1897885.416</v>
      </c>
      <c r="K21" s="87">
        <f>+'[6]Statisitcal Data'!K16</f>
        <v>0</v>
      </c>
      <c r="L21" s="78">
        <f>+'[6]Statisitcal Data'!L16</f>
        <v>0</v>
      </c>
      <c r="M21" s="87">
        <f>+'[6]Statisitcal Data'!M16</f>
        <v>0</v>
      </c>
      <c r="N21" s="78">
        <f>+'[6]Statisitcal Data'!N16</f>
        <v>0</v>
      </c>
      <c r="O21" s="71">
        <f t="shared" si="2"/>
        <v>19</v>
      </c>
      <c r="P21" s="50">
        <f>+D21+F21+H21+J21+N21+L21</f>
        <v>6964150.9840000002</v>
      </c>
    </row>
    <row r="22" spans="2:16" s="15" customFormat="1" ht="12" x14ac:dyDescent="0.2">
      <c r="B22" s="64" t="s">
        <v>23</v>
      </c>
      <c r="C22" s="71">
        <f>'[6]Statisitcal Data'!C17</f>
        <v>13</v>
      </c>
      <c r="D22" s="78">
        <f>'[6]Statisitcal Data'!D17</f>
        <v>2446249.5959999999</v>
      </c>
      <c r="E22" s="71">
        <f>'[6]Statisitcal Data'!E17</f>
        <v>1</v>
      </c>
      <c r="F22" s="50">
        <f>'[6]Statisitcal Data'!F17</f>
        <v>1020335.7640000001</v>
      </c>
      <c r="G22" s="87">
        <f>'[6]Statisitcal Data'!G17</f>
        <v>4</v>
      </c>
      <c r="H22" s="78">
        <f>'[6]Statisitcal Data'!H17</f>
        <v>902402.9</v>
      </c>
      <c r="I22" s="71">
        <f>'[6]Statisitcal Data'!I17</f>
        <v>2</v>
      </c>
      <c r="J22" s="50">
        <f>'[6]Statisitcal Data'!J17</f>
        <v>892976</v>
      </c>
      <c r="K22" s="87">
        <f>+'[6]Statisitcal Data'!K17</f>
        <v>1</v>
      </c>
      <c r="L22" s="78">
        <f>+'[6]Statisitcal Data'!L17</f>
        <v>140700</v>
      </c>
      <c r="M22" s="87">
        <f>+'[6]Statisitcal Data'!M17</f>
        <v>0</v>
      </c>
      <c r="N22" s="78">
        <f>+'[6]Statisitcal Data'!N17</f>
        <v>0</v>
      </c>
      <c r="O22" s="71">
        <f t="shared" si="2"/>
        <v>21</v>
      </c>
      <c r="P22" s="50">
        <f>+D22+F22+H22+J22+N22+L22</f>
        <v>5402664.2599999998</v>
      </c>
    </row>
    <row r="23" spans="2:16" s="15" customFormat="1" ht="12" x14ac:dyDescent="0.2">
      <c r="B23" s="64" t="s">
        <v>36</v>
      </c>
      <c r="C23" s="71">
        <f>'[6]Statisitcal Data'!C18</f>
        <v>17</v>
      </c>
      <c r="D23" s="78">
        <f>'[6]Statisitcal Data'!D18</f>
        <v>2618408.2400000002</v>
      </c>
      <c r="E23" s="71">
        <f>'[6]Statisitcal Data'!E18</f>
        <v>4</v>
      </c>
      <c r="F23" s="50">
        <f>'[6]Statisitcal Data'!F18</f>
        <v>1328536.2999999998</v>
      </c>
      <c r="G23" s="87">
        <f>'[6]Statisitcal Data'!G18</f>
        <v>0</v>
      </c>
      <c r="H23" s="78">
        <f>'[6]Statisitcal Data'!H18</f>
        <v>0</v>
      </c>
      <c r="I23" s="71">
        <f>'[6]Statisitcal Data'!I18</f>
        <v>2</v>
      </c>
      <c r="J23" s="50">
        <f>'[6]Statisitcal Data'!J18</f>
        <v>745710</v>
      </c>
      <c r="K23" s="87">
        <f>+'[6]Statisitcal Data'!K18</f>
        <v>0</v>
      </c>
      <c r="L23" s="78">
        <f>+'[6]Statisitcal Data'!L18</f>
        <v>0</v>
      </c>
      <c r="M23" s="87">
        <f>+'[6]Statisitcal Data'!M18</f>
        <v>0</v>
      </c>
      <c r="N23" s="78">
        <f>+'[6]Statisitcal Data'!N18</f>
        <v>0</v>
      </c>
      <c r="O23" s="71">
        <f t="shared" si="2"/>
        <v>23</v>
      </c>
      <c r="P23" s="50">
        <f>+D23+F23+H23+J23+N23+L23</f>
        <v>4692654.54</v>
      </c>
    </row>
    <row r="24" spans="2:16" s="15" customFormat="1" ht="12" x14ac:dyDescent="0.2">
      <c r="B24" s="51" t="s">
        <v>24</v>
      </c>
      <c r="C24" s="72">
        <f t="shared" ref="C24:J24" si="4">SUM(C21:C23)</f>
        <v>42</v>
      </c>
      <c r="D24" s="79">
        <f t="shared" si="4"/>
        <v>7379246</v>
      </c>
      <c r="E24" s="72">
        <f t="shared" si="4"/>
        <v>9</v>
      </c>
      <c r="F24" s="52">
        <f t="shared" si="4"/>
        <v>4263271.9079999998</v>
      </c>
      <c r="G24" s="88">
        <f t="shared" si="4"/>
        <v>5</v>
      </c>
      <c r="H24" s="79">
        <f t="shared" si="4"/>
        <v>1739680.46</v>
      </c>
      <c r="I24" s="72">
        <f t="shared" si="4"/>
        <v>6</v>
      </c>
      <c r="J24" s="52">
        <f t="shared" si="4"/>
        <v>3536571.4160000002</v>
      </c>
      <c r="K24" s="88">
        <f>SUM(K21:K23)</f>
        <v>1</v>
      </c>
      <c r="L24" s="79">
        <f>SUM(L21:L23)</f>
        <v>140700</v>
      </c>
      <c r="M24" s="88">
        <f>SUM(M21:M23)</f>
        <v>0</v>
      </c>
      <c r="N24" s="79">
        <f>SUM(N21:N23)</f>
        <v>0</v>
      </c>
      <c r="O24" s="72">
        <f t="shared" si="2"/>
        <v>63</v>
      </c>
      <c r="P24" s="52">
        <f>SUM(P21:P23)</f>
        <v>17059469.783999998</v>
      </c>
    </row>
    <row r="25" spans="2:16" s="15" customFormat="1" ht="12" x14ac:dyDescent="0.2">
      <c r="B25" s="64" t="s">
        <v>25</v>
      </c>
      <c r="C25" s="71">
        <f>'[6]Statisitcal Data'!C20</f>
        <v>18</v>
      </c>
      <c r="D25" s="78">
        <f>'[6]Statisitcal Data'!D20</f>
        <v>2043485.5279999999</v>
      </c>
      <c r="E25" s="71">
        <f>'[6]Statisitcal Data'!E20</f>
        <v>13</v>
      </c>
      <c r="F25" s="50">
        <f>'[6]Statisitcal Data'!F20</f>
        <v>1817007.304</v>
      </c>
      <c r="G25" s="87">
        <f>'[6]Statisitcal Data'!G20</f>
        <v>1</v>
      </c>
      <c r="H25" s="78">
        <f>'[6]Statisitcal Data'!H20</f>
        <v>929933.2</v>
      </c>
      <c r="I25" s="71">
        <f>'[6]Statisitcal Data'!I20</f>
        <v>1</v>
      </c>
      <c r="J25" s="50">
        <f>'[6]Statisitcal Data'!J20</f>
        <v>539912.79999999993</v>
      </c>
      <c r="K25" s="87">
        <f>+'[6]Statisitcal Data'!K20</f>
        <v>0</v>
      </c>
      <c r="L25" s="78">
        <f>+'[6]Statisitcal Data'!L20</f>
        <v>0</v>
      </c>
      <c r="M25" s="87">
        <f>+'[6]Statisitcal Data'!M20</f>
        <v>1</v>
      </c>
      <c r="N25" s="78">
        <f>+'[6]Statisitcal Data'!N20</f>
        <v>3887259.6</v>
      </c>
      <c r="O25" s="71">
        <f t="shared" si="2"/>
        <v>34</v>
      </c>
      <c r="P25" s="50">
        <f>+D25+F25+H25+J25+N25+L25</f>
        <v>9217598.432</v>
      </c>
    </row>
    <row r="26" spans="2:16" s="15" customFormat="1" ht="12" x14ac:dyDescent="0.2">
      <c r="B26" s="64" t="s">
        <v>26</v>
      </c>
      <c r="C26" s="71">
        <f>'[6]Statisitcal Data'!C21</f>
        <v>9</v>
      </c>
      <c r="D26" s="78">
        <f>'[6]Statisitcal Data'!D21</f>
        <v>1851236.7999999998</v>
      </c>
      <c r="E26" s="71">
        <f>'[6]Statisitcal Data'!E21</f>
        <v>3</v>
      </c>
      <c r="F26" s="50">
        <f>'[6]Statisitcal Data'!F21</f>
        <v>2280653.1999999997</v>
      </c>
      <c r="G26" s="87">
        <f>'[6]Statisitcal Data'!G21</f>
        <v>2</v>
      </c>
      <c r="H26" s="78">
        <f>'[6]Statisitcal Data'!H21</f>
        <v>839697.6</v>
      </c>
      <c r="I26" s="71">
        <f>'[6]Statisitcal Data'!I21</f>
        <v>1</v>
      </c>
      <c r="J26" s="50">
        <f>'[6]Statisitcal Data'!J21</f>
        <v>522248.38400000002</v>
      </c>
      <c r="K26" s="87">
        <f>+'[6]Statisitcal Data'!K21</f>
        <v>0</v>
      </c>
      <c r="L26" s="78">
        <f>+'[6]Statisitcal Data'!L21</f>
        <v>0</v>
      </c>
      <c r="M26" s="87">
        <f>+'[6]Statisitcal Data'!M21</f>
        <v>0</v>
      </c>
      <c r="N26" s="78">
        <f>+'[6]Statisitcal Data'!N21</f>
        <v>0</v>
      </c>
      <c r="O26" s="71">
        <f t="shared" si="2"/>
        <v>15</v>
      </c>
      <c r="P26" s="50">
        <f>+D26+F26+H26+J26+N26+L26</f>
        <v>5493835.9839999992</v>
      </c>
    </row>
    <row r="27" spans="2:16" s="15" customFormat="1" ht="12" x14ac:dyDescent="0.2">
      <c r="B27" s="64" t="s">
        <v>27</v>
      </c>
      <c r="C27" s="71">
        <f>'[6]Statisitcal Data'!C22</f>
        <v>14</v>
      </c>
      <c r="D27" s="78">
        <f>'[6]Statisitcal Data'!D22</f>
        <v>1977491.6</v>
      </c>
      <c r="E27" s="71">
        <f>'[6]Statisitcal Data'!E22</f>
        <v>3</v>
      </c>
      <c r="F27" s="50">
        <f>'[6]Statisitcal Data'!F22</f>
        <v>892976</v>
      </c>
      <c r="G27" s="87">
        <f>'[6]Statisitcal Data'!G22</f>
        <v>1</v>
      </c>
      <c r="H27" s="78">
        <f>'[6]Statisitcal Data'!H22</f>
        <v>1008162.4</v>
      </c>
      <c r="I27" s="71">
        <f>'[6]Statisitcal Data'!I22</f>
        <v>0</v>
      </c>
      <c r="J27" s="50">
        <f>'[6]Statisitcal Data'!J22</f>
        <v>0</v>
      </c>
      <c r="K27" s="87">
        <f>+'[6]Statisitcal Data'!K22</f>
        <v>0</v>
      </c>
      <c r="L27" s="78">
        <f>+'[6]Statisitcal Data'!L22</f>
        <v>0</v>
      </c>
      <c r="M27" s="87">
        <f>+'[6]Statisitcal Data'!M22</f>
        <v>2</v>
      </c>
      <c r="N27" s="78">
        <f>+'[6]Statisitcal Data'!N22</f>
        <v>895602.39999999991</v>
      </c>
      <c r="O27" s="71">
        <f t="shared" si="2"/>
        <v>20</v>
      </c>
      <c r="P27" s="50">
        <f>+D27+F27+H27+J27+N27+L27</f>
        <v>4774232.4000000004</v>
      </c>
    </row>
    <row r="28" spans="2:16" s="15" customFormat="1" ht="12" x14ac:dyDescent="0.2">
      <c r="B28" s="51" t="s">
        <v>28</v>
      </c>
      <c r="C28" s="72">
        <f t="shared" ref="C28:J28" si="5">SUM(C25:C27)</f>
        <v>41</v>
      </c>
      <c r="D28" s="79">
        <f t="shared" si="5"/>
        <v>5872213.9279999994</v>
      </c>
      <c r="E28" s="72">
        <f t="shared" si="5"/>
        <v>19</v>
      </c>
      <c r="F28" s="52">
        <f t="shared" si="5"/>
        <v>4990636.5039999997</v>
      </c>
      <c r="G28" s="88">
        <f t="shared" si="5"/>
        <v>4</v>
      </c>
      <c r="H28" s="79">
        <f t="shared" si="5"/>
        <v>2777793.1999999997</v>
      </c>
      <c r="I28" s="72">
        <f t="shared" si="5"/>
        <v>2</v>
      </c>
      <c r="J28" s="52">
        <f t="shared" si="5"/>
        <v>1062161.1839999999</v>
      </c>
      <c r="K28" s="88">
        <f>SUM(K25:K27)</f>
        <v>0</v>
      </c>
      <c r="L28" s="79">
        <f>SUM(L25:L27)</f>
        <v>0</v>
      </c>
      <c r="M28" s="88">
        <f>SUM(M25:M27)</f>
        <v>3</v>
      </c>
      <c r="N28" s="79">
        <f>SUM(N25:N27)</f>
        <v>4782862</v>
      </c>
      <c r="O28" s="72">
        <f t="shared" si="2"/>
        <v>69</v>
      </c>
      <c r="P28" s="52">
        <f>SUM(P25:P27)</f>
        <v>19485666.816</v>
      </c>
    </row>
    <row r="29" spans="2:16" s="9" customFormat="1" ht="12" x14ac:dyDescent="0.2">
      <c r="B29" s="45" t="s">
        <v>35</v>
      </c>
      <c r="C29" s="73">
        <f t="shared" ref="C29:J29" si="6">+C16+C20+C24+C28</f>
        <v>175</v>
      </c>
      <c r="D29" s="80">
        <f t="shared" si="6"/>
        <v>25063384.388</v>
      </c>
      <c r="E29" s="73">
        <f t="shared" si="6"/>
        <v>47</v>
      </c>
      <c r="F29" s="53">
        <f t="shared" si="6"/>
        <v>18676585.535999998</v>
      </c>
      <c r="G29" s="89">
        <f t="shared" si="6"/>
        <v>17</v>
      </c>
      <c r="H29" s="80">
        <f t="shared" si="6"/>
        <v>11429029.107999999</v>
      </c>
      <c r="I29" s="73">
        <f t="shared" si="6"/>
        <v>20</v>
      </c>
      <c r="J29" s="53">
        <f t="shared" si="6"/>
        <v>22296747.760000002</v>
      </c>
      <c r="K29" s="89">
        <f>+K16+K20+K24+K28</f>
        <v>1</v>
      </c>
      <c r="L29" s="80">
        <f>+L16+L20+L24+L28</f>
        <v>140700</v>
      </c>
      <c r="M29" s="89">
        <f>+M16+M20+M24+M28</f>
        <v>8</v>
      </c>
      <c r="N29" s="80">
        <f>+N16+N20+N24+N28</f>
        <v>6690800.9000000004</v>
      </c>
      <c r="O29" s="73">
        <f t="shared" si="2"/>
        <v>268</v>
      </c>
      <c r="P29" s="53">
        <f>P16+P20+P24+P28</f>
        <v>84297247.691999987</v>
      </c>
    </row>
    <row r="30" spans="2:16" s="9" customFormat="1" ht="12" x14ac:dyDescent="0.2">
      <c r="B30" s="45"/>
      <c r="C30" s="68"/>
      <c r="D30" s="54"/>
      <c r="E30" s="68"/>
      <c r="F30" s="54"/>
      <c r="G30" s="68"/>
      <c r="H30" s="54"/>
      <c r="I30" s="68"/>
      <c r="J30" s="54"/>
      <c r="K30" s="68"/>
      <c r="L30" s="54"/>
      <c r="M30" s="68"/>
      <c r="N30" s="54"/>
      <c r="O30" s="68"/>
      <c r="P30" s="54"/>
    </row>
    <row r="31" spans="2:16" s="15" customFormat="1" ht="12.75" x14ac:dyDescent="0.2">
      <c r="B31" s="55">
        <v>2007</v>
      </c>
      <c r="C31" s="69"/>
      <c r="D31" s="81"/>
      <c r="E31" s="69"/>
      <c r="F31" s="56"/>
      <c r="G31" s="90"/>
      <c r="H31" s="81"/>
      <c r="I31" s="69"/>
      <c r="J31" s="56"/>
      <c r="K31" s="90"/>
      <c r="L31" s="81"/>
      <c r="M31" s="90"/>
      <c r="N31" s="81"/>
      <c r="O31" s="69"/>
      <c r="P31" s="56"/>
    </row>
    <row r="32" spans="2:16" s="15" customFormat="1" ht="12" x14ac:dyDescent="0.2">
      <c r="B32" s="64" t="s">
        <v>14</v>
      </c>
      <c r="C32" s="71">
        <f>+'[7]Statisitcal Data'!C8</f>
        <v>12</v>
      </c>
      <c r="D32" s="78">
        <f>+'[7]Statisitcal Data'!D8</f>
        <v>1449000</v>
      </c>
      <c r="E32" s="71">
        <f>+'[7]Statisitcal Data'!E8</f>
        <v>10</v>
      </c>
      <c r="F32" s="50">
        <f>+'[7]Statisitcal Data'!F8</f>
        <v>1144041</v>
      </c>
      <c r="G32" s="87">
        <f>+'[7]Statisitcal Data'!G8</f>
        <v>1</v>
      </c>
      <c r="H32" s="78">
        <f>+'[7]Statisitcal Data'!H8</f>
        <v>7338600</v>
      </c>
      <c r="I32" s="71">
        <f>+'[7]Statisitcal Data'!I8</f>
        <v>1</v>
      </c>
      <c r="J32" s="50">
        <f>+'[7]Statisitcal Data'!J8</f>
        <v>6266700</v>
      </c>
      <c r="K32" s="87">
        <f>+'[7]Statisitcal Data'!K8</f>
        <v>2</v>
      </c>
      <c r="L32" s="78">
        <f>+'[7]Statisitcal Data'!L8</f>
        <v>1181250</v>
      </c>
      <c r="M32" s="87">
        <f>+'[7]Statisitcal Data'!M8</f>
        <v>1</v>
      </c>
      <c r="N32" s="78">
        <f>+'[7]Statisitcal Data'!N8</f>
        <v>18150</v>
      </c>
      <c r="O32" s="71">
        <f t="shared" ref="O32:P34" si="7">+C32+E32+G32+I32+M32+K32</f>
        <v>27</v>
      </c>
      <c r="P32" s="50">
        <f t="shared" si="7"/>
        <v>17397741</v>
      </c>
    </row>
    <row r="33" spans="2:16" s="15" customFormat="1" ht="12" x14ac:dyDescent="0.2">
      <c r="B33" s="64" t="s">
        <v>15</v>
      </c>
      <c r="C33" s="71">
        <f>+'[7]Statisitcal Data'!C9</f>
        <v>12</v>
      </c>
      <c r="D33" s="78">
        <f>+'[7]Statisitcal Data'!D9</f>
        <v>1859043</v>
      </c>
      <c r="E33" s="71">
        <f>+'[7]Statisitcal Data'!E9</f>
        <v>4</v>
      </c>
      <c r="F33" s="50">
        <f>+'[7]Statisitcal Data'!F9</f>
        <v>818100</v>
      </c>
      <c r="G33" s="87">
        <f>+'[7]Statisitcal Data'!G9</f>
        <v>1</v>
      </c>
      <c r="H33" s="78">
        <f>+'[7]Statisitcal Data'!H9</f>
        <v>7482300</v>
      </c>
      <c r="I33" s="71">
        <f>+'[7]Statisitcal Data'!I9</f>
        <v>2</v>
      </c>
      <c r="J33" s="50">
        <f>+'[7]Statisitcal Data'!J9</f>
        <v>1120500</v>
      </c>
      <c r="K33" s="87">
        <f>+'[7]Statisitcal Data'!K9</f>
        <v>0</v>
      </c>
      <c r="L33" s="78">
        <f>+'[7]Statisitcal Data'!L9</f>
        <v>0</v>
      </c>
      <c r="M33" s="87">
        <f>+'[7]Statisitcal Data'!M9</f>
        <v>1</v>
      </c>
      <c r="N33" s="78">
        <f>+'[7]Statisitcal Data'!N9</f>
        <v>1111500</v>
      </c>
      <c r="O33" s="71">
        <f t="shared" si="7"/>
        <v>20</v>
      </c>
      <c r="P33" s="50">
        <f t="shared" si="7"/>
        <v>12391443</v>
      </c>
    </row>
    <row r="34" spans="2:16" s="15" customFormat="1" ht="12" x14ac:dyDescent="0.2">
      <c r="B34" s="64" t="s">
        <v>16</v>
      </c>
      <c r="C34" s="71">
        <f>+'[7]Statisitcal Data'!C10</f>
        <v>4</v>
      </c>
      <c r="D34" s="78">
        <f>+'[7]Statisitcal Data'!D10</f>
        <v>1764600</v>
      </c>
      <c r="E34" s="71">
        <f>+'[7]Statisitcal Data'!E10</f>
        <v>1</v>
      </c>
      <c r="F34" s="50">
        <f>+'[7]Statisitcal Data'!F10</f>
        <v>1760100</v>
      </c>
      <c r="G34" s="87">
        <f>+'[7]Statisitcal Data'!G10</f>
        <v>1</v>
      </c>
      <c r="H34" s="78">
        <f>+'[7]Statisitcal Data'!H10</f>
        <v>142335000</v>
      </c>
      <c r="I34" s="71">
        <f>+'[7]Statisitcal Data'!I10</f>
        <v>3</v>
      </c>
      <c r="J34" s="50">
        <f>+'[7]Statisitcal Data'!J10</f>
        <v>2950500</v>
      </c>
      <c r="K34" s="87">
        <f>+'[7]Statisitcal Data'!K10</f>
        <v>0</v>
      </c>
      <c r="L34" s="78">
        <f>+'[7]Statisitcal Data'!L10</f>
        <v>0</v>
      </c>
      <c r="M34" s="87">
        <f>+'[7]Statisitcal Data'!M10</f>
        <v>1</v>
      </c>
      <c r="N34" s="78">
        <f>+'[7]Statisitcal Data'!N10</f>
        <v>60000</v>
      </c>
      <c r="O34" s="71">
        <f t="shared" si="7"/>
        <v>10</v>
      </c>
      <c r="P34" s="50">
        <f t="shared" si="7"/>
        <v>148870200</v>
      </c>
    </row>
    <row r="35" spans="2:16" s="15" customFormat="1" ht="12" x14ac:dyDescent="0.2">
      <c r="B35" s="51" t="s">
        <v>17</v>
      </c>
      <c r="C35" s="72">
        <f t="shared" ref="C35:J35" si="8">SUM(C32:C34)</f>
        <v>28</v>
      </c>
      <c r="D35" s="79">
        <f t="shared" si="8"/>
        <v>5072643</v>
      </c>
      <c r="E35" s="72">
        <f t="shared" si="8"/>
        <v>15</v>
      </c>
      <c r="F35" s="52">
        <f t="shared" si="8"/>
        <v>3722241</v>
      </c>
      <c r="G35" s="88">
        <f t="shared" si="8"/>
        <v>3</v>
      </c>
      <c r="H35" s="79">
        <f t="shared" si="8"/>
        <v>157155900</v>
      </c>
      <c r="I35" s="72">
        <f t="shared" si="8"/>
        <v>6</v>
      </c>
      <c r="J35" s="52">
        <f t="shared" si="8"/>
        <v>10337700</v>
      </c>
      <c r="K35" s="88">
        <f>SUM(K32:K34)</f>
        <v>2</v>
      </c>
      <c r="L35" s="79">
        <f>SUM(L32:L34)</f>
        <v>1181250</v>
      </c>
      <c r="M35" s="88">
        <f>SUM(M32:M34)</f>
        <v>3</v>
      </c>
      <c r="N35" s="79">
        <f>SUM(N32:N34)</f>
        <v>1189650</v>
      </c>
      <c r="O35" s="72">
        <f t="shared" ref="O35:O48" si="9">+C35+E35+G35+I35+M35+K35</f>
        <v>57</v>
      </c>
      <c r="P35" s="52">
        <f>SUM(P32:P34)</f>
        <v>178659384</v>
      </c>
    </row>
    <row r="36" spans="2:16" s="15" customFormat="1" ht="12" x14ac:dyDescent="0.2">
      <c r="B36" s="64" t="s">
        <v>18</v>
      </c>
      <c r="C36" s="71">
        <f>+'[7]Statisitcal Data'!C12</f>
        <v>9</v>
      </c>
      <c r="D36" s="78">
        <f>+'[7]Statisitcal Data'!D12</f>
        <v>1221600</v>
      </c>
      <c r="E36" s="71">
        <f>+'[7]Statisitcal Data'!E12</f>
        <v>9</v>
      </c>
      <c r="F36" s="50">
        <f>+'[7]Statisitcal Data'!F12</f>
        <v>1433250</v>
      </c>
      <c r="G36" s="87">
        <f>+'[7]Statisitcal Data'!G12</f>
        <v>1</v>
      </c>
      <c r="H36" s="78">
        <f>+'[7]Statisitcal Data'!H12</f>
        <v>10125000</v>
      </c>
      <c r="I36" s="71">
        <f>+'[7]Statisitcal Data'!I12</f>
        <v>2</v>
      </c>
      <c r="J36" s="50">
        <f>+'[7]Statisitcal Data'!J12</f>
        <v>1591650</v>
      </c>
      <c r="K36" s="87">
        <f>+'[7]Statisitcal Data'!K12</f>
        <v>0</v>
      </c>
      <c r="L36" s="78">
        <f>+'[7]Statisitcal Data'!L12</f>
        <v>0</v>
      </c>
      <c r="M36" s="87">
        <f>+'[7]Statisitcal Data'!M12</f>
        <v>1</v>
      </c>
      <c r="N36" s="78">
        <f>+'[7]Statisitcal Data'!N12</f>
        <v>660600</v>
      </c>
      <c r="O36" s="71">
        <f t="shared" si="9"/>
        <v>22</v>
      </c>
      <c r="P36" s="50">
        <f>+D36+F36+H36+J36+N36+L36</f>
        <v>15032100</v>
      </c>
    </row>
    <row r="37" spans="2:16" s="15" customFormat="1" ht="12" x14ac:dyDescent="0.2">
      <c r="B37" s="64" t="s">
        <v>19</v>
      </c>
      <c r="C37" s="71">
        <f>+'[7]Statisitcal Data'!C13</f>
        <v>26</v>
      </c>
      <c r="D37" s="78">
        <f>+'[7]Statisitcal Data'!D13</f>
        <v>1764600</v>
      </c>
      <c r="E37" s="71">
        <f>+'[7]Statisitcal Data'!E13</f>
        <v>17</v>
      </c>
      <c r="F37" s="50">
        <f>+'[7]Statisitcal Data'!F13</f>
        <v>1760100</v>
      </c>
      <c r="G37" s="87">
        <f>+'[7]Statisitcal Data'!G13</f>
        <v>1</v>
      </c>
      <c r="H37" s="78">
        <f>+'[7]Statisitcal Data'!H13</f>
        <v>142335000</v>
      </c>
      <c r="I37" s="71">
        <f>+'[7]Statisitcal Data'!I13</f>
        <v>2</v>
      </c>
      <c r="J37" s="50">
        <f>+'[7]Statisitcal Data'!J13</f>
        <v>2950500</v>
      </c>
      <c r="K37" s="87">
        <f>+'[7]Statisitcal Data'!K13</f>
        <v>0</v>
      </c>
      <c r="L37" s="78">
        <f>+'[7]Statisitcal Data'!L13</f>
        <v>0</v>
      </c>
      <c r="M37" s="87">
        <f>+'[7]Statisitcal Data'!M13</f>
        <v>1</v>
      </c>
      <c r="N37" s="78">
        <f>+'[7]Statisitcal Data'!N13</f>
        <v>60000</v>
      </c>
      <c r="O37" s="71">
        <f t="shared" si="9"/>
        <v>47</v>
      </c>
      <c r="P37" s="50">
        <f>+D37+F37+H37+J37+N37+L37</f>
        <v>148870200</v>
      </c>
    </row>
    <row r="38" spans="2:16" s="15" customFormat="1" ht="12" x14ac:dyDescent="0.2">
      <c r="B38" s="64" t="s">
        <v>20</v>
      </c>
      <c r="C38" s="71">
        <f>+'[7]Statisitcal Data'!C14</f>
        <v>17</v>
      </c>
      <c r="D38" s="78">
        <f>+'[7]Statisitcal Data'!D14</f>
        <v>1909500</v>
      </c>
      <c r="E38" s="71">
        <f>+'[7]Statisitcal Data'!E14</f>
        <v>6</v>
      </c>
      <c r="F38" s="50">
        <f>+'[7]Statisitcal Data'!F14</f>
        <v>1062600</v>
      </c>
      <c r="G38" s="87">
        <f>+'[7]Statisitcal Data'!G14</f>
        <v>0</v>
      </c>
      <c r="H38" s="78">
        <f>+'[7]Statisitcal Data'!H14</f>
        <v>0</v>
      </c>
      <c r="I38" s="71">
        <f>+'[7]Statisitcal Data'!I14</f>
        <v>3</v>
      </c>
      <c r="J38" s="50">
        <f>+'[7]Statisitcal Data'!J14</f>
        <v>6656899.5</v>
      </c>
      <c r="K38" s="87">
        <f>+'[7]Statisitcal Data'!K14</f>
        <v>0</v>
      </c>
      <c r="L38" s="78">
        <f>+'[7]Statisitcal Data'!L14</f>
        <v>0</v>
      </c>
      <c r="M38" s="87">
        <f>+'[7]Statisitcal Data'!M14</f>
        <v>3</v>
      </c>
      <c r="N38" s="78">
        <f>+'[7]Statisitcal Data'!N14</f>
        <v>1712250</v>
      </c>
      <c r="O38" s="71">
        <f t="shared" si="9"/>
        <v>29</v>
      </c>
      <c r="P38" s="50">
        <f>+D38+F38+H38+J38+N38+L38</f>
        <v>11341249.5</v>
      </c>
    </row>
    <row r="39" spans="2:16" s="15" customFormat="1" ht="12" x14ac:dyDescent="0.2">
      <c r="B39" s="51" t="s">
        <v>21</v>
      </c>
      <c r="C39" s="72">
        <f t="shared" ref="C39:J39" si="10">SUM(C36:C38)</f>
        <v>52</v>
      </c>
      <c r="D39" s="79">
        <f t="shared" si="10"/>
        <v>4895700</v>
      </c>
      <c r="E39" s="72">
        <f t="shared" si="10"/>
        <v>32</v>
      </c>
      <c r="F39" s="52">
        <f t="shared" si="10"/>
        <v>4255950</v>
      </c>
      <c r="G39" s="88">
        <f t="shared" si="10"/>
        <v>2</v>
      </c>
      <c r="H39" s="79">
        <f t="shared" si="10"/>
        <v>152460000</v>
      </c>
      <c r="I39" s="72">
        <f t="shared" si="10"/>
        <v>7</v>
      </c>
      <c r="J39" s="52">
        <f t="shared" si="10"/>
        <v>11199049.5</v>
      </c>
      <c r="K39" s="88">
        <f>SUM(K36:K38)</f>
        <v>0</v>
      </c>
      <c r="L39" s="79">
        <f>SUM(L36:L38)</f>
        <v>0</v>
      </c>
      <c r="M39" s="88">
        <f>SUM(M36:M38)</f>
        <v>5</v>
      </c>
      <c r="N39" s="79">
        <f>SUM(N36:N38)</f>
        <v>2432850</v>
      </c>
      <c r="O39" s="72">
        <f t="shared" si="9"/>
        <v>98</v>
      </c>
      <c r="P39" s="52">
        <f>SUM(P36:P38)</f>
        <v>175243549.5</v>
      </c>
    </row>
    <row r="40" spans="2:16" s="15" customFormat="1" ht="12" x14ac:dyDescent="0.2">
      <c r="B40" s="64" t="s">
        <v>22</v>
      </c>
      <c r="C40" s="71">
        <f>+'[7]Statisitcal Data'!C16</f>
        <v>18</v>
      </c>
      <c r="D40" s="78">
        <f>+'[7]Statisitcal Data'!D16</f>
        <v>1431600</v>
      </c>
      <c r="E40" s="71">
        <f>+'[7]Statisitcal Data'!E16</f>
        <v>11</v>
      </c>
      <c r="F40" s="50">
        <f>+'[7]Statisitcal Data'!F16</f>
        <v>1041750</v>
      </c>
      <c r="G40" s="87">
        <f>+'[7]Statisitcal Data'!G16</f>
        <v>1</v>
      </c>
      <c r="H40" s="78">
        <f>+'[7]Statisitcal Data'!H16</f>
        <v>16289250</v>
      </c>
      <c r="I40" s="71">
        <f>+'[7]Statisitcal Data'!I16</f>
        <v>1</v>
      </c>
      <c r="J40" s="50">
        <f>+'[7]Statisitcal Data'!J16</f>
        <v>244200</v>
      </c>
      <c r="K40" s="87">
        <f>+'[7]Statisitcal Data'!K16</f>
        <v>0</v>
      </c>
      <c r="L40" s="78">
        <f>+'[7]Statisitcal Data'!L16</f>
        <v>0</v>
      </c>
      <c r="M40" s="87">
        <f>+'[7]Statisitcal Data'!M16</f>
        <v>1</v>
      </c>
      <c r="N40" s="78">
        <f>+'[7]Statisitcal Data'!N16</f>
        <v>421500</v>
      </c>
      <c r="O40" s="71">
        <f t="shared" si="9"/>
        <v>32</v>
      </c>
      <c r="P40" s="50">
        <f>+D40+F40+H40+J40+N40+L40</f>
        <v>19428300</v>
      </c>
    </row>
    <row r="41" spans="2:16" s="15" customFormat="1" ht="12" x14ac:dyDescent="0.2">
      <c r="B41" s="64" t="s">
        <v>23</v>
      </c>
      <c r="C41" s="71">
        <f>+'[7]Statisitcal Data'!C17</f>
        <v>13</v>
      </c>
      <c r="D41" s="78">
        <f>+'[7]Statisitcal Data'!D17</f>
        <v>1706700</v>
      </c>
      <c r="E41" s="71">
        <f>+'[7]Statisitcal Data'!E17</f>
        <v>5</v>
      </c>
      <c r="F41" s="50">
        <f>+'[7]Statisitcal Data'!F17</f>
        <v>641250</v>
      </c>
      <c r="G41" s="87">
        <f>+'[7]Statisitcal Data'!G17</f>
        <v>0</v>
      </c>
      <c r="H41" s="78">
        <f>+'[7]Statisitcal Data'!H17</f>
        <v>0</v>
      </c>
      <c r="I41" s="71">
        <f>+'[7]Statisitcal Data'!I17</f>
        <v>1</v>
      </c>
      <c r="J41" s="50">
        <f>+'[7]Statisitcal Data'!J17</f>
        <v>557550</v>
      </c>
      <c r="K41" s="87">
        <f>+'[7]Statisitcal Data'!K17</f>
        <v>0</v>
      </c>
      <c r="L41" s="78">
        <f>+'[7]Statisitcal Data'!L17</f>
        <v>0</v>
      </c>
      <c r="M41" s="87">
        <f>+'[7]Statisitcal Data'!M17</f>
        <v>0</v>
      </c>
      <c r="N41" s="78">
        <f>+'[7]Statisitcal Data'!N17</f>
        <v>0</v>
      </c>
      <c r="O41" s="71">
        <f t="shared" si="9"/>
        <v>19</v>
      </c>
      <c r="P41" s="50">
        <f>+D41+F41+H41+J41+N41+L41</f>
        <v>2905500</v>
      </c>
    </row>
    <row r="42" spans="2:16" s="15" customFormat="1" ht="12" x14ac:dyDescent="0.2">
      <c r="B42" s="64" t="s">
        <v>36</v>
      </c>
      <c r="C42" s="71">
        <f>+'[7]Statisitcal Data'!C18</f>
        <v>13</v>
      </c>
      <c r="D42" s="78">
        <f>+'[7]Statisitcal Data'!D18</f>
        <v>1218150</v>
      </c>
      <c r="E42" s="71">
        <f>+'[7]Statisitcal Data'!E18</f>
        <v>5</v>
      </c>
      <c r="F42" s="50">
        <f>+'[7]Statisitcal Data'!F18</f>
        <v>1140450</v>
      </c>
      <c r="G42" s="87">
        <f>+'[7]Statisitcal Data'!G18</f>
        <v>0</v>
      </c>
      <c r="H42" s="78">
        <f>+'[7]Statisitcal Data'!H18</f>
        <v>0</v>
      </c>
      <c r="I42" s="71">
        <f>+'[7]Statisitcal Data'!I18</f>
        <v>1</v>
      </c>
      <c r="J42" s="50">
        <f>+'[7]Statisitcal Data'!J18</f>
        <v>105300</v>
      </c>
      <c r="K42" s="87">
        <f>+'[7]Statisitcal Data'!K18</f>
        <v>0</v>
      </c>
      <c r="L42" s="78">
        <f>+'[7]Statisitcal Data'!L18</f>
        <v>0</v>
      </c>
      <c r="M42" s="87">
        <f>+'[7]Statisitcal Data'!M18</f>
        <v>0</v>
      </c>
      <c r="N42" s="78">
        <f>+'[7]Statisitcal Data'!N18</f>
        <v>0</v>
      </c>
      <c r="O42" s="71">
        <f t="shared" si="9"/>
        <v>19</v>
      </c>
      <c r="P42" s="50">
        <f>+D42+F42+H42+J42+N42+L42</f>
        <v>2463900</v>
      </c>
    </row>
    <row r="43" spans="2:16" s="15" customFormat="1" ht="12" x14ac:dyDescent="0.2">
      <c r="B43" s="51" t="s">
        <v>24</v>
      </c>
      <c r="C43" s="72">
        <f t="shared" ref="C43:J43" si="11">SUM(C40:C42)</f>
        <v>44</v>
      </c>
      <c r="D43" s="79">
        <f t="shared" si="11"/>
        <v>4356450</v>
      </c>
      <c r="E43" s="72">
        <f t="shared" si="11"/>
        <v>21</v>
      </c>
      <c r="F43" s="52">
        <f t="shared" si="11"/>
        <v>2823450</v>
      </c>
      <c r="G43" s="88">
        <f t="shared" si="11"/>
        <v>1</v>
      </c>
      <c r="H43" s="79">
        <f t="shared" si="11"/>
        <v>16289250</v>
      </c>
      <c r="I43" s="72">
        <f t="shared" si="11"/>
        <v>3</v>
      </c>
      <c r="J43" s="52">
        <f t="shared" si="11"/>
        <v>907050</v>
      </c>
      <c r="K43" s="88">
        <f>SUM(K40:K42)</f>
        <v>0</v>
      </c>
      <c r="L43" s="79">
        <f>SUM(L40:L42)</f>
        <v>0</v>
      </c>
      <c r="M43" s="88">
        <f>SUM(M40:M42)</f>
        <v>1</v>
      </c>
      <c r="N43" s="79">
        <f>SUM(N40:N42)</f>
        <v>421500</v>
      </c>
      <c r="O43" s="72">
        <f t="shared" si="9"/>
        <v>70</v>
      </c>
      <c r="P43" s="52">
        <f>SUM(P40:P42)</f>
        <v>24797700</v>
      </c>
    </row>
    <row r="44" spans="2:16" s="15" customFormat="1" ht="12" x14ac:dyDescent="0.2">
      <c r="B44" s="64" t="s">
        <v>25</v>
      </c>
      <c r="C44" s="71">
        <f>+'[7]Statisitcal Data'!C20</f>
        <v>25</v>
      </c>
      <c r="D44" s="78">
        <f>+'[7]Statisitcal Data'!D20</f>
        <v>1456425</v>
      </c>
      <c r="E44" s="71">
        <f>+'[7]Statisitcal Data'!E20</f>
        <v>17</v>
      </c>
      <c r="F44" s="50">
        <f>+'[7]Statisitcal Data'!F20</f>
        <v>1165200</v>
      </c>
      <c r="G44" s="87">
        <f>+'[7]Statisitcal Data'!G20</f>
        <v>2</v>
      </c>
      <c r="H44" s="78">
        <f>+'[7]Statisitcal Data'!H20</f>
        <v>900000</v>
      </c>
      <c r="I44" s="71">
        <f>+'[7]Statisitcal Data'!I20</f>
        <v>0</v>
      </c>
      <c r="J44" s="50">
        <f>+'[7]Statisitcal Data'!J20</f>
        <v>0</v>
      </c>
      <c r="K44" s="87">
        <f>+'[7]Statisitcal Data'!K20</f>
        <v>0</v>
      </c>
      <c r="L44" s="78">
        <f>+'[7]Statisitcal Data'!L20</f>
        <v>0</v>
      </c>
      <c r="M44" s="87">
        <f>+'[7]Statisitcal Data'!M20</f>
        <v>0</v>
      </c>
      <c r="N44" s="78">
        <f>+'[7]Statisitcal Data'!N20</f>
        <v>0</v>
      </c>
      <c r="O44" s="71">
        <f t="shared" si="9"/>
        <v>44</v>
      </c>
      <c r="P44" s="50">
        <f>+D44+F44+H44+J44+N44+L44</f>
        <v>3521625</v>
      </c>
    </row>
    <row r="45" spans="2:16" s="15" customFormat="1" ht="12" x14ac:dyDescent="0.2">
      <c r="B45" s="64" t="s">
        <v>26</v>
      </c>
      <c r="C45" s="71">
        <f>+'[7]Statisitcal Data'!C21</f>
        <v>18</v>
      </c>
      <c r="D45" s="78">
        <f>+'[7]Statisitcal Data'!D21</f>
        <v>1801050</v>
      </c>
      <c r="E45" s="71">
        <f>+'[7]Statisitcal Data'!E21</f>
        <v>12</v>
      </c>
      <c r="F45" s="50">
        <f>+'[7]Statisitcal Data'!F21</f>
        <v>1309350</v>
      </c>
      <c r="G45" s="87">
        <f>+'[7]Statisitcal Data'!G21</f>
        <v>0</v>
      </c>
      <c r="H45" s="78">
        <f>+'[7]Statisitcal Data'!H21</f>
        <v>0</v>
      </c>
      <c r="I45" s="71">
        <f>+'[7]Statisitcal Data'!I21</f>
        <v>1</v>
      </c>
      <c r="J45" s="50">
        <f>+'[7]Statisitcal Data'!J21</f>
        <v>816000</v>
      </c>
      <c r="K45" s="87">
        <f>+'[7]Statisitcal Data'!K21</f>
        <v>0</v>
      </c>
      <c r="L45" s="78">
        <f>+'[7]Statisitcal Data'!L21</f>
        <v>0</v>
      </c>
      <c r="M45" s="87">
        <f>+'[7]Statisitcal Data'!M21</f>
        <v>1</v>
      </c>
      <c r="N45" s="78">
        <f>+'[7]Statisitcal Data'!N21</f>
        <v>545250</v>
      </c>
      <c r="O45" s="71">
        <f t="shared" si="9"/>
        <v>32</v>
      </c>
      <c r="P45" s="50">
        <f>+D45+F45+H45+J45+N45+L45</f>
        <v>4471650</v>
      </c>
    </row>
    <row r="46" spans="2:16" s="15" customFormat="1" ht="12" x14ac:dyDescent="0.2">
      <c r="B46" s="64" t="s">
        <v>27</v>
      </c>
      <c r="C46" s="71">
        <f>+'[7]Statisitcal Data'!C22</f>
        <v>17</v>
      </c>
      <c r="D46" s="78">
        <f>+'[7]Statisitcal Data'!D22</f>
        <v>2138550</v>
      </c>
      <c r="E46" s="71">
        <f>+'[7]Statisitcal Data'!E22</f>
        <v>3</v>
      </c>
      <c r="F46" s="50">
        <f>+'[7]Statisitcal Data'!F22</f>
        <v>2353150.5</v>
      </c>
      <c r="G46" s="87">
        <f>+'[7]Statisitcal Data'!G22</f>
        <v>1</v>
      </c>
      <c r="H46" s="78">
        <f>+'[7]Statisitcal Data'!H22</f>
        <v>1320000</v>
      </c>
      <c r="I46" s="71">
        <f>+'[7]Statisitcal Data'!I22</f>
        <v>2</v>
      </c>
      <c r="J46" s="50">
        <f>+'[7]Statisitcal Data'!J22</f>
        <v>378600</v>
      </c>
      <c r="K46" s="87">
        <f>+'[7]Statisitcal Data'!K22</f>
        <v>0</v>
      </c>
      <c r="L46" s="78">
        <f>+'[7]Statisitcal Data'!L22</f>
        <v>0</v>
      </c>
      <c r="M46" s="87">
        <f>+'[7]Statisitcal Data'!M22</f>
        <v>2</v>
      </c>
      <c r="N46" s="78">
        <f>+'[7]Statisitcal Data'!N22</f>
        <v>716100</v>
      </c>
      <c r="O46" s="71">
        <f t="shared" si="9"/>
        <v>25</v>
      </c>
      <c r="P46" s="50">
        <f>+D46+F46+H46+J46+N46+L46</f>
        <v>6906400.5</v>
      </c>
    </row>
    <row r="47" spans="2:16" s="15" customFormat="1" ht="12" x14ac:dyDescent="0.2">
      <c r="B47" s="51" t="s">
        <v>28</v>
      </c>
      <c r="C47" s="72">
        <f t="shared" ref="C47:J47" si="12">SUM(C44:C46)</f>
        <v>60</v>
      </c>
      <c r="D47" s="79">
        <f t="shared" si="12"/>
        <v>5396025</v>
      </c>
      <c r="E47" s="72">
        <f t="shared" si="12"/>
        <v>32</v>
      </c>
      <c r="F47" s="52">
        <f t="shared" si="12"/>
        <v>4827700.5</v>
      </c>
      <c r="G47" s="88">
        <f t="shared" si="12"/>
        <v>3</v>
      </c>
      <c r="H47" s="79">
        <f t="shared" si="12"/>
        <v>2220000</v>
      </c>
      <c r="I47" s="72">
        <f t="shared" si="12"/>
        <v>3</v>
      </c>
      <c r="J47" s="52">
        <f t="shared" si="12"/>
        <v>1194600</v>
      </c>
      <c r="K47" s="88">
        <f>SUM(K44:K46)</f>
        <v>0</v>
      </c>
      <c r="L47" s="79">
        <f>SUM(L44:L46)</f>
        <v>0</v>
      </c>
      <c r="M47" s="88">
        <f>SUM(M44:M46)</f>
        <v>3</v>
      </c>
      <c r="N47" s="79">
        <f>SUM(N44:N46)</f>
        <v>1261350</v>
      </c>
      <c r="O47" s="72">
        <f t="shared" si="9"/>
        <v>101</v>
      </c>
      <c r="P47" s="52">
        <f>SUM(P44:P46)</f>
        <v>14899675.5</v>
      </c>
    </row>
    <row r="48" spans="2:16" s="15" customFormat="1" ht="12" x14ac:dyDescent="0.2">
      <c r="B48" s="45" t="s">
        <v>35</v>
      </c>
      <c r="C48" s="73">
        <f t="shared" ref="C48:J48" si="13">+C35+C39+C43+C47</f>
        <v>184</v>
      </c>
      <c r="D48" s="80">
        <f t="shared" si="13"/>
        <v>19720818</v>
      </c>
      <c r="E48" s="73">
        <f t="shared" si="13"/>
        <v>100</v>
      </c>
      <c r="F48" s="53">
        <f t="shared" si="13"/>
        <v>15629341.5</v>
      </c>
      <c r="G48" s="89">
        <f t="shared" si="13"/>
        <v>9</v>
      </c>
      <c r="H48" s="80">
        <f t="shared" si="13"/>
        <v>328125150</v>
      </c>
      <c r="I48" s="73">
        <f t="shared" si="13"/>
        <v>19</v>
      </c>
      <c r="J48" s="53">
        <f t="shared" si="13"/>
        <v>23638399.5</v>
      </c>
      <c r="K48" s="89">
        <f>+K35+K39+K43+K47</f>
        <v>2</v>
      </c>
      <c r="L48" s="80">
        <f>+L35+L39+L43+L47</f>
        <v>1181250</v>
      </c>
      <c r="M48" s="89">
        <f>+M35+M39+M43+M47</f>
        <v>12</v>
      </c>
      <c r="N48" s="80">
        <f>+N35+N39+N43+N47</f>
        <v>5305350</v>
      </c>
      <c r="O48" s="73">
        <f t="shared" si="9"/>
        <v>326</v>
      </c>
      <c r="P48" s="53">
        <f>P35+P39+P43+P47</f>
        <v>393600309</v>
      </c>
    </row>
    <row r="49" spans="2:16" s="15" customFormat="1" x14ac:dyDescent="0.2">
      <c r="B49" s="54"/>
      <c r="C49" s="54"/>
      <c r="D49" s="54"/>
      <c r="E49" s="54"/>
      <c r="F49" s="54"/>
      <c r="G49" s="68"/>
      <c r="H49" s="54"/>
      <c r="I49" s="68"/>
      <c r="J49" s="54"/>
      <c r="K49" s="68"/>
      <c r="L49" s="54"/>
      <c r="M49" s="68"/>
      <c r="N49" s="54"/>
      <c r="O49" s="68"/>
      <c r="P49" s="54"/>
    </row>
    <row r="50" spans="2:16" s="15" customFormat="1" ht="12" x14ac:dyDescent="0.2">
      <c r="B50" s="57" t="s">
        <v>69</v>
      </c>
      <c r="C50" s="70"/>
      <c r="D50" s="82"/>
      <c r="E50" s="70"/>
      <c r="F50" s="74"/>
      <c r="G50" s="91"/>
      <c r="H50" s="82"/>
      <c r="I50" s="70"/>
      <c r="J50" s="74"/>
      <c r="K50" s="91"/>
      <c r="L50" s="82"/>
      <c r="M50" s="91"/>
      <c r="N50" s="82"/>
      <c r="O50" s="70"/>
      <c r="P50" s="74"/>
    </row>
    <row r="51" spans="2:16" s="15" customFormat="1" ht="12" x14ac:dyDescent="0.2">
      <c r="B51" s="64" t="s">
        <v>14</v>
      </c>
      <c r="C51" s="50">
        <f>+IF(C13=0,0,((C32-C13)/C13*100))</f>
        <v>-14.285714285714285</v>
      </c>
      <c r="D51" s="78">
        <f t="shared" ref="D51:P51" si="14">+IF(D13=0,0,((D32-D13)/D13*100))</f>
        <v>-8.2963129535843851</v>
      </c>
      <c r="E51" s="50">
        <f t="shared" si="14"/>
        <v>0</v>
      </c>
      <c r="F51" s="50">
        <f t="shared" si="14"/>
        <v>0</v>
      </c>
      <c r="G51" s="92">
        <f t="shared" si="14"/>
        <v>-66.666666666666657</v>
      </c>
      <c r="H51" s="78">
        <f t="shared" si="14"/>
        <v>293.31869607090505</v>
      </c>
      <c r="I51" s="50">
        <f t="shared" si="14"/>
        <v>0</v>
      </c>
      <c r="J51" s="50">
        <f t="shared" si="14"/>
        <v>136.06545763382087</v>
      </c>
      <c r="K51" s="92">
        <f t="shared" ref="K51:N67" si="15">+IF(K13=0,0,((K32-K13)/K13*100))</f>
        <v>0</v>
      </c>
      <c r="L51" s="78">
        <f t="shared" si="15"/>
        <v>0</v>
      </c>
      <c r="M51" s="92">
        <f t="shared" si="15"/>
        <v>0</v>
      </c>
      <c r="N51" s="78">
        <f t="shared" si="15"/>
        <v>0</v>
      </c>
      <c r="O51" s="50">
        <f t="shared" si="14"/>
        <v>50</v>
      </c>
      <c r="P51" s="50">
        <f t="shared" si="14"/>
        <v>185.18318403936954</v>
      </c>
    </row>
    <row r="52" spans="2:16" s="15" customFormat="1" ht="12" x14ac:dyDescent="0.2">
      <c r="B52" s="64" t="s">
        <v>15</v>
      </c>
      <c r="C52" s="50">
        <f t="shared" ref="C52:P67" si="16">+IF(C14=0,0,((C33-C14)/C14*100))</f>
        <v>-14.285714285714285</v>
      </c>
      <c r="D52" s="78">
        <f t="shared" si="16"/>
        <v>-17.177238691027831</v>
      </c>
      <c r="E52" s="50">
        <f t="shared" si="16"/>
        <v>0</v>
      </c>
      <c r="F52" s="50">
        <f t="shared" si="16"/>
        <v>-45.416339767409582</v>
      </c>
      <c r="G52" s="92">
        <f t="shared" si="16"/>
        <v>0</v>
      </c>
      <c r="H52" s="78">
        <f t="shared" si="16"/>
        <v>0</v>
      </c>
      <c r="I52" s="50">
        <f t="shared" si="16"/>
        <v>100</v>
      </c>
      <c r="J52" s="50">
        <f>+IF(J14=0,0,((J33-J14)/J14*100))</f>
        <v>-50.535697731396255</v>
      </c>
      <c r="K52" s="92">
        <f t="shared" si="15"/>
        <v>0</v>
      </c>
      <c r="L52" s="78">
        <f t="shared" si="15"/>
        <v>0</v>
      </c>
      <c r="M52" s="92">
        <f t="shared" si="15"/>
        <v>-66.666666666666657</v>
      </c>
      <c r="N52" s="78">
        <f t="shared" si="15"/>
        <v>28.180866142849187</v>
      </c>
      <c r="O52" s="50">
        <f t="shared" si="16"/>
        <v>-9.0909090909090917</v>
      </c>
      <c r="P52" s="50">
        <f t="shared" si="16"/>
        <v>80.21798335578606</v>
      </c>
    </row>
    <row r="53" spans="2:16" s="15" customFormat="1" ht="12" x14ac:dyDescent="0.2">
      <c r="B53" s="64" t="s">
        <v>16</v>
      </c>
      <c r="C53" s="50">
        <f t="shared" si="16"/>
        <v>-82.608695652173907</v>
      </c>
      <c r="D53" s="78">
        <f t="shared" si="16"/>
        <v>-13.751424743763129</v>
      </c>
      <c r="E53" s="50">
        <f t="shared" si="16"/>
        <v>0</v>
      </c>
      <c r="F53" s="50">
        <f t="shared" si="16"/>
        <v>31.920643448353609</v>
      </c>
      <c r="G53" s="92">
        <f t="shared" si="16"/>
        <v>0</v>
      </c>
      <c r="H53" s="78">
        <f t="shared" si="16"/>
        <v>7868.8620083223068</v>
      </c>
      <c r="I53" s="50">
        <f t="shared" si="16"/>
        <v>0</v>
      </c>
      <c r="J53" s="50">
        <f t="shared" si="16"/>
        <v>-46.439136560759742</v>
      </c>
      <c r="K53" s="92">
        <f t="shared" si="15"/>
        <v>0</v>
      </c>
      <c r="L53" s="78">
        <f t="shared" si="15"/>
        <v>0</v>
      </c>
      <c r="M53" s="92">
        <f t="shared" si="15"/>
        <v>0</v>
      </c>
      <c r="N53" s="78">
        <f t="shared" si="15"/>
        <v>0</v>
      </c>
      <c r="O53" s="50">
        <f t="shared" si="16"/>
        <v>-65.517241379310349</v>
      </c>
      <c r="P53" s="50">
        <f t="shared" si="16"/>
        <v>1294.5707032644896</v>
      </c>
    </row>
    <row r="54" spans="2:16" s="15" customFormat="1" ht="12" x14ac:dyDescent="0.2">
      <c r="B54" s="51" t="s">
        <v>17</v>
      </c>
      <c r="C54" s="67">
        <f t="shared" si="16"/>
        <v>-45.098039215686278</v>
      </c>
      <c r="D54" s="83">
        <f t="shared" si="16"/>
        <v>-13.593014882423127</v>
      </c>
      <c r="E54" s="67">
        <f t="shared" si="16"/>
        <v>200</v>
      </c>
      <c r="F54" s="67">
        <f t="shared" si="16"/>
        <v>31.388141290998799</v>
      </c>
      <c r="G54" s="93">
        <f t="shared" si="16"/>
        <v>-25</v>
      </c>
      <c r="H54" s="83">
        <f t="shared" si="16"/>
        <v>4203.3363986907361</v>
      </c>
      <c r="I54" s="67">
        <f t="shared" si="16"/>
        <v>20</v>
      </c>
      <c r="J54" s="67">
        <f t="shared" si="16"/>
        <v>-0.87165528746619148</v>
      </c>
      <c r="K54" s="93">
        <f t="shared" si="15"/>
        <v>0</v>
      </c>
      <c r="L54" s="83">
        <f t="shared" si="15"/>
        <v>0</v>
      </c>
      <c r="M54" s="93">
        <f t="shared" si="15"/>
        <v>-25</v>
      </c>
      <c r="N54" s="83">
        <f t="shared" si="15"/>
        <v>37.193313006604171</v>
      </c>
      <c r="O54" s="67">
        <f t="shared" si="16"/>
        <v>-17.391304347826086</v>
      </c>
      <c r="P54" s="67">
        <f t="shared" si="16"/>
        <v>655.38794486234167</v>
      </c>
    </row>
    <row r="55" spans="2:16" s="15" customFormat="1" ht="12" x14ac:dyDescent="0.2">
      <c r="B55" s="64" t="s">
        <v>18</v>
      </c>
      <c r="C55" s="50">
        <f t="shared" si="16"/>
        <v>-35.714285714285715</v>
      </c>
      <c r="D55" s="78">
        <f t="shared" si="16"/>
        <v>-38.408824035079135</v>
      </c>
      <c r="E55" s="50">
        <f t="shared" si="16"/>
        <v>12.5</v>
      </c>
      <c r="F55" s="50">
        <f t="shared" si="16"/>
        <v>-70.707728238929391</v>
      </c>
      <c r="G55" s="92">
        <f t="shared" si="16"/>
        <v>-66.666666666666657</v>
      </c>
      <c r="H55" s="78">
        <f t="shared" si="16"/>
        <v>587.15762702087341</v>
      </c>
      <c r="I55" s="50">
        <f t="shared" si="16"/>
        <v>100</v>
      </c>
      <c r="J55" s="50">
        <f t="shared" si="16"/>
        <v>257.45237296632473</v>
      </c>
      <c r="K55" s="92">
        <f t="shared" si="15"/>
        <v>0</v>
      </c>
      <c r="L55" s="78">
        <f t="shared" si="15"/>
        <v>0</v>
      </c>
      <c r="M55" s="92">
        <f t="shared" si="15"/>
        <v>0</v>
      </c>
      <c r="N55" s="78">
        <f t="shared" si="15"/>
        <v>0</v>
      </c>
      <c r="O55" s="50">
        <f t="shared" si="16"/>
        <v>-15.384615384615385</v>
      </c>
      <c r="P55" s="50">
        <f t="shared" si="16"/>
        <v>70.91512869702143</v>
      </c>
    </row>
    <row r="56" spans="2:16" s="15" customFormat="1" ht="12" x14ac:dyDescent="0.2">
      <c r="B56" s="64" t="s">
        <v>19</v>
      </c>
      <c r="C56" s="50">
        <f t="shared" si="16"/>
        <v>85.714285714285708</v>
      </c>
      <c r="D56" s="78">
        <f t="shared" si="16"/>
        <v>-13.751424743763129</v>
      </c>
      <c r="E56" s="50">
        <f t="shared" si="16"/>
        <v>325</v>
      </c>
      <c r="F56" s="50">
        <f t="shared" si="16"/>
        <v>31.920643448353609</v>
      </c>
      <c r="G56" s="92">
        <f t="shared" si="16"/>
        <v>0</v>
      </c>
      <c r="H56" s="78">
        <f t="shared" si="16"/>
        <v>7868.8620083223068</v>
      </c>
      <c r="I56" s="50">
        <f t="shared" si="16"/>
        <v>-33.333333333333329</v>
      </c>
      <c r="J56" s="50">
        <f t="shared" si="16"/>
        <v>-46.439136560759742</v>
      </c>
      <c r="K56" s="92">
        <f t="shared" si="15"/>
        <v>0</v>
      </c>
      <c r="L56" s="78">
        <f t="shared" si="15"/>
        <v>0</v>
      </c>
      <c r="M56" s="92">
        <f t="shared" si="15"/>
        <v>0</v>
      </c>
      <c r="N56" s="78">
        <f t="shared" si="15"/>
        <v>0</v>
      </c>
      <c r="O56" s="50">
        <f t="shared" si="16"/>
        <v>113.63636363636364</v>
      </c>
      <c r="P56" s="50">
        <f t="shared" si="16"/>
        <v>1294.5707032644896</v>
      </c>
    </row>
    <row r="57" spans="2:16" s="15" customFormat="1" ht="12" x14ac:dyDescent="0.2">
      <c r="B57" s="64" t="s">
        <v>20</v>
      </c>
      <c r="C57" s="50">
        <f t="shared" si="16"/>
        <v>30.76923076923077</v>
      </c>
      <c r="D57" s="78">
        <f t="shared" si="16"/>
        <v>-0.12744438955931389</v>
      </c>
      <c r="E57" s="50">
        <f t="shared" si="16"/>
        <v>200</v>
      </c>
      <c r="F57" s="50">
        <f t="shared" si="16"/>
        <v>193.11021840148271</v>
      </c>
      <c r="G57" s="92">
        <f t="shared" si="16"/>
        <v>0</v>
      </c>
      <c r="H57" s="78">
        <f t="shared" si="16"/>
        <v>0</v>
      </c>
      <c r="I57" s="50">
        <f t="shared" si="16"/>
        <v>0</v>
      </c>
      <c r="J57" s="50">
        <f t="shared" si="16"/>
        <v>406.05446252966277</v>
      </c>
      <c r="K57" s="92">
        <f t="shared" si="15"/>
        <v>0</v>
      </c>
      <c r="L57" s="78">
        <f t="shared" si="15"/>
        <v>0</v>
      </c>
      <c r="M57" s="92">
        <f t="shared" si="15"/>
        <v>200</v>
      </c>
      <c r="N57" s="78">
        <f t="shared" si="15"/>
        <v>64.512116008688665</v>
      </c>
      <c r="O57" s="50">
        <f t="shared" si="16"/>
        <v>52.631578947368418</v>
      </c>
      <c r="P57" s="50">
        <f t="shared" si="16"/>
        <v>144.91339184002209</v>
      </c>
    </row>
    <row r="58" spans="2:16" s="15" customFormat="1" ht="12" x14ac:dyDescent="0.2">
      <c r="B58" s="51" t="s">
        <v>21</v>
      </c>
      <c r="C58" s="67">
        <f t="shared" si="16"/>
        <v>26.829268292682929</v>
      </c>
      <c r="D58" s="83">
        <f t="shared" si="16"/>
        <v>-17.59862697542837</v>
      </c>
      <c r="E58" s="67">
        <f t="shared" si="16"/>
        <v>128.57142857142858</v>
      </c>
      <c r="F58" s="67">
        <f t="shared" si="16"/>
        <v>-35.414781751888988</v>
      </c>
      <c r="G58" s="93">
        <f t="shared" si="16"/>
        <v>-50</v>
      </c>
      <c r="H58" s="83">
        <f t="shared" si="16"/>
        <v>4577.2600780544944</v>
      </c>
      <c r="I58" s="67">
        <f t="shared" si="16"/>
        <v>0</v>
      </c>
      <c r="J58" s="67">
        <f t="shared" si="16"/>
        <v>54.057121468237732</v>
      </c>
      <c r="K58" s="93">
        <f t="shared" si="15"/>
        <v>0</v>
      </c>
      <c r="L58" s="83">
        <f t="shared" si="15"/>
        <v>0</v>
      </c>
      <c r="M58" s="93">
        <f t="shared" si="15"/>
        <v>400</v>
      </c>
      <c r="N58" s="83">
        <f t="shared" si="15"/>
        <v>133.74700039815346</v>
      </c>
      <c r="O58" s="67">
        <f t="shared" si="16"/>
        <v>46.268656716417908</v>
      </c>
      <c r="P58" s="67">
        <f t="shared" si="16"/>
        <v>627.12844411585593</v>
      </c>
    </row>
    <row r="59" spans="2:16" s="15" customFormat="1" ht="12" x14ac:dyDescent="0.2">
      <c r="B59" s="64" t="s">
        <v>22</v>
      </c>
      <c r="C59" s="50">
        <f t="shared" si="16"/>
        <v>50</v>
      </c>
      <c r="D59" s="78">
        <f t="shared" si="16"/>
        <v>-38.148823956398658</v>
      </c>
      <c r="E59" s="50">
        <f t="shared" si="16"/>
        <v>175</v>
      </c>
      <c r="F59" s="50">
        <f t="shared" si="16"/>
        <v>-45.583468194223272</v>
      </c>
      <c r="G59" s="92">
        <f t="shared" si="16"/>
        <v>0</v>
      </c>
      <c r="H59" s="78">
        <f t="shared" si="16"/>
        <v>1845.5017999049205</v>
      </c>
      <c r="I59" s="50">
        <f t="shared" si="16"/>
        <v>-50</v>
      </c>
      <c r="J59" s="50">
        <f t="shared" si="16"/>
        <v>-87.133048289359948</v>
      </c>
      <c r="K59" s="92">
        <f t="shared" si="15"/>
        <v>0</v>
      </c>
      <c r="L59" s="78">
        <f t="shared" si="15"/>
        <v>0</v>
      </c>
      <c r="M59" s="92">
        <f t="shared" si="15"/>
        <v>0</v>
      </c>
      <c r="N59" s="78">
        <f t="shared" si="15"/>
        <v>0</v>
      </c>
      <c r="O59" s="50">
        <f t="shared" si="16"/>
        <v>68.421052631578945</v>
      </c>
      <c r="P59" s="50">
        <f t="shared" si="16"/>
        <v>178.97585857394728</v>
      </c>
    </row>
    <row r="60" spans="2:16" s="15" customFormat="1" ht="12" x14ac:dyDescent="0.2">
      <c r="B60" s="64" t="s">
        <v>23</v>
      </c>
      <c r="C60" s="50">
        <f t="shared" si="16"/>
        <v>0</v>
      </c>
      <c r="D60" s="78">
        <f t="shared" si="16"/>
        <v>-30.231976214090295</v>
      </c>
      <c r="E60" s="50">
        <f t="shared" si="16"/>
        <v>400</v>
      </c>
      <c r="F60" s="50">
        <f t="shared" si="16"/>
        <v>-37.153040927809727</v>
      </c>
      <c r="G60" s="92">
        <f t="shared" si="16"/>
        <v>-100</v>
      </c>
      <c r="H60" s="78">
        <f t="shared" si="16"/>
        <v>-100</v>
      </c>
      <c r="I60" s="50">
        <f t="shared" si="16"/>
        <v>-50</v>
      </c>
      <c r="J60" s="50">
        <f t="shared" si="16"/>
        <v>-37.562711651824912</v>
      </c>
      <c r="K60" s="92">
        <f t="shared" si="15"/>
        <v>-100</v>
      </c>
      <c r="L60" s="78">
        <f t="shared" si="15"/>
        <v>-100</v>
      </c>
      <c r="M60" s="92">
        <f t="shared" si="15"/>
        <v>0</v>
      </c>
      <c r="N60" s="78">
        <f t="shared" si="15"/>
        <v>0</v>
      </c>
      <c r="O60" s="50">
        <f t="shared" si="16"/>
        <v>-9.5238095238095237</v>
      </c>
      <c r="P60" s="50">
        <f t="shared" si="16"/>
        <v>-46.220978017982553</v>
      </c>
    </row>
    <row r="61" spans="2:16" s="15" customFormat="1" ht="12" x14ac:dyDescent="0.2">
      <c r="B61" s="64" t="s">
        <v>36</v>
      </c>
      <c r="C61" s="50">
        <f t="shared" si="16"/>
        <v>-23.52941176470588</v>
      </c>
      <c r="D61" s="78">
        <f t="shared" si="16"/>
        <v>-53.477460795036301</v>
      </c>
      <c r="E61" s="50">
        <f t="shared" si="16"/>
        <v>25</v>
      </c>
      <c r="F61" s="50">
        <f t="shared" si="16"/>
        <v>-14.157407667370462</v>
      </c>
      <c r="G61" s="92">
        <f t="shared" si="16"/>
        <v>0</v>
      </c>
      <c r="H61" s="78">
        <f t="shared" si="16"/>
        <v>0</v>
      </c>
      <c r="I61" s="50">
        <f t="shared" si="16"/>
        <v>-50</v>
      </c>
      <c r="J61" s="50">
        <f t="shared" si="16"/>
        <v>-85.879229190972367</v>
      </c>
      <c r="K61" s="92">
        <f t="shared" si="15"/>
        <v>0</v>
      </c>
      <c r="L61" s="78">
        <f t="shared" si="15"/>
        <v>0</v>
      </c>
      <c r="M61" s="92">
        <f t="shared" si="15"/>
        <v>0</v>
      </c>
      <c r="N61" s="78">
        <f t="shared" si="15"/>
        <v>0</v>
      </c>
      <c r="O61" s="50">
        <f t="shared" si="16"/>
        <v>-17.391304347826086</v>
      </c>
      <c r="P61" s="50">
        <f t="shared" si="16"/>
        <v>-47.494536855466038</v>
      </c>
    </row>
    <row r="62" spans="2:16" s="15" customFormat="1" ht="12" x14ac:dyDescent="0.2">
      <c r="B62" s="51" t="s">
        <v>24</v>
      </c>
      <c r="C62" s="67">
        <f t="shared" si="16"/>
        <v>4.7619047619047619</v>
      </c>
      <c r="D62" s="83">
        <f t="shared" si="16"/>
        <v>-40.963480550722927</v>
      </c>
      <c r="E62" s="67">
        <f t="shared" si="16"/>
        <v>133.33333333333331</v>
      </c>
      <c r="F62" s="67">
        <f t="shared" si="16"/>
        <v>-33.772697099103254</v>
      </c>
      <c r="G62" s="93">
        <f t="shared" si="16"/>
        <v>-80</v>
      </c>
      <c r="H62" s="83">
        <f t="shared" si="16"/>
        <v>836.33574524369828</v>
      </c>
      <c r="I62" s="67">
        <f t="shared" si="16"/>
        <v>-50</v>
      </c>
      <c r="J62" s="67">
        <f t="shared" si="16"/>
        <v>-74.352278144409453</v>
      </c>
      <c r="K62" s="93">
        <f t="shared" si="15"/>
        <v>-100</v>
      </c>
      <c r="L62" s="83">
        <f t="shared" si="15"/>
        <v>-100</v>
      </c>
      <c r="M62" s="93">
        <f t="shared" si="15"/>
        <v>0</v>
      </c>
      <c r="N62" s="83">
        <f t="shared" si="15"/>
        <v>0</v>
      </c>
      <c r="O62" s="67">
        <f t="shared" si="16"/>
        <v>11.111111111111111</v>
      </c>
      <c r="P62" s="67">
        <f t="shared" si="16"/>
        <v>45.360320771854553</v>
      </c>
    </row>
    <row r="63" spans="2:16" s="15" customFormat="1" ht="12" x14ac:dyDescent="0.2">
      <c r="B63" s="64" t="s">
        <v>25</v>
      </c>
      <c r="C63" s="50">
        <f t="shared" si="16"/>
        <v>38.888888888888893</v>
      </c>
      <c r="D63" s="78">
        <f t="shared" si="16"/>
        <v>-28.728391757908255</v>
      </c>
      <c r="E63" s="50">
        <f t="shared" si="16"/>
        <v>30.76923076923077</v>
      </c>
      <c r="F63" s="50">
        <f t="shared" si="16"/>
        <v>-35.872574786303666</v>
      </c>
      <c r="G63" s="92">
        <f t="shared" si="16"/>
        <v>100</v>
      </c>
      <c r="H63" s="78">
        <f t="shared" si="16"/>
        <v>-3.2188548596823892</v>
      </c>
      <c r="I63" s="50">
        <f t="shared" si="16"/>
        <v>-100</v>
      </c>
      <c r="J63" s="50">
        <f t="shared" si="16"/>
        <v>-100</v>
      </c>
      <c r="K63" s="92">
        <f t="shared" si="15"/>
        <v>0</v>
      </c>
      <c r="L63" s="78">
        <f t="shared" si="15"/>
        <v>0</v>
      </c>
      <c r="M63" s="92">
        <f t="shared" si="15"/>
        <v>-100</v>
      </c>
      <c r="N63" s="78">
        <f t="shared" si="15"/>
        <v>-100</v>
      </c>
      <c r="O63" s="50">
        <f t="shared" si="16"/>
        <v>29.411764705882355</v>
      </c>
      <c r="P63" s="50">
        <f t="shared" si="16"/>
        <v>-61.794549567550526</v>
      </c>
    </row>
    <row r="64" spans="2:16" s="15" customFormat="1" ht="12" x14ac:dyDescent="0.2">
      <c r="B64" s="64" t="s">
        <v>26</v>
      </c>
      <c r="C64" s="50">
        <f t="shared" si="16"/>
        <v>100</v>
      </c>
      <c r="D64" s="78">
        <f t="shared" si="16"/>
        <v>-2.710987594887905</v>
      </c>
      <c r="E64" s="50">
        <f t="shared" si="16"/>
        <v>300</v>
      </c>
      <c r="F64" s="50">
        <f t="shared" si="16"/>
        <v>-42.588816221598265</v>
      </c>
      <c r="G64" s="92">
        <f t="shared" si="16"/>
        <v>-100</v>
      </c>
      <c r="H64" s="78">
        <f t="shared" si="16"/>
        <v>-100</v>
      </c>
      <c r="I64" s="50">
        <f t="shared" si="16"/>
        <v>0</v>
      </c>
      <c r="J64" s="50">
        <f>+IF(J26=0,0,((J45-J26)/J26*100))</f>
        <v>56.247491615024316</v>
      </c>
      <c r="K64" s="92">
        <f t="shared" si="15"/>
        <v>0</v>
      </c>
      <c r="L64" s="78">
        <f t="shared" si="15"/>
        <v>0</v>
      </c>
      <c r="M64" s="92">
        <f t="shared" si="15"/>
        <v>0</v>
      </c>
      <c r="N64" s="78">
        <f t="shared" si="15"/>
        <v>0</v>
      </c>
      <c r="O64" s="50">
        <f t="shared" si="16"/>
        <v>113.33333333333333</v>
      </c>
      <c r="P64" s="50">
        <f t="shared" si="16"/>
        <v>-18.606052073213831</v>
      </c>
    </row>
    <row r="65" spans="1:18" s="15" customFormat="1" ht="12" x14ac:dyDescent="0.2">
      <c r="B65" s="64" t="s">
        <v>27</v>
      </c>
      <c r="C65" s="50">
        <f t="shared" si="16"/>
        <v>21.428571428571427</v>
      </c>
      <c r="D65" s="78">
        <f t="shared" si="16"/>
        <v>8.1445807405705235</v>
      </c>
      <c r="E65" s="50">
        <f t="shared" si="16"/>
        <v>0</v>
      </c>
      <c r="F65" s="50">
        <f t="shared" si="16"/>
        <v>163.51777651359052</v>
      </c>
      <c r="G65" s="92">
        <f t="shared" si="16"/>
        <v>0</v>
      </c>
      <c r="H65" s="78">
        <f t="shared" si="16"/>
        <v>30.931286467338985</v>
      </c>
      <c r="I65" s="50">
        <f t="shared" si="16"/>
        <v>0</v>
      </c>
      <c r="J65" s="50">
        <f t="shared" si="16"/>
        <v>0</v>
      </c>
      <c r="K65" s="92">
        <f t="shared" si="15"/>
        <v>0</v>
      </c>
      <c r="L65" s="78">
        <f t="shared" si="15"/>
        <v>0</v>
      </c>
      <c r="M65" s="92">
        <f t="shared" si="15"/>
        <v>0</v>
      </c>
      <c r="N65" s="78">
        <f t="shared" si="15"/>
        <v>-20.042643923240931</v>
      </c>
      <c r="O65" s="50">
        <f t="shared" si="16"/>
        <v>25</v>
      </c>
      <c r="P65" s="50">
        <f t="shared" si="16"/>
        <v>44.65991433512955</v>
      </c>
    </row>
    <row r="66" spans="1:18" s="15" customFormat="1" ht="12" x14ac:dyDescent="0.2">
      <c r="B66" s="51" t="s">
        <v>28</v>
      </c>
      <c r="C66" s="67">
        <f t="shared" si="16"/>
        <v>46.341463414634148</v>
      </c>
      <c r="D66" s="83">
        <f t="shared" si="16"/>
        <v>-8.1091890356621121</v>
      </c>
      <c r="E66" s="67">
        <f t="shared" si="16"/>
        <v>68.421052631578945</v>
      </c>
      <c r="F66" s="67">
        <f t="shared" si="16"/>
        <v>-3.2648341322676253</v>
      </c>
      <c r="G66" s="93">
        <f t="shared" si="16"/>
        <v>-25</v>
      </c>
      <c r="H66" s="83">
        <f t="shared" si="16"/>
        <v>-20.080443713376496</v>
      </c>
      <c r="I66" s="67">
        <f t="shared" si="16"/>
        <v>50</v>
      </c>
      <c r="J66" s="67">
        <f t="shared" si="16"/>
        <v>12.468805864402603</v>
      </c>
      <c r="K66" s="93">
        <f t="shared" si="15"/>
        <v>0</v>
      </c>
      <c r="L66" s="83">
        <f t="shared" si="15"/>
        <v>0</v>
      </c>
      <c r="M66" s="93">
        <f t="shared" si="15"/>
        <v>0</v>
      </c>
      <c r="N66" s="83">
        <f t="shared" si="15"/>
        <v>-73.627714953933449</v>
      </c>
      <c r="O66" s="67">
        <f t="shared" si="16"/>
        <v>46.376811594202898</v>
      </c>
      <c r="P66" s="67">
        <f t="shared" si="16"/>
        <v>-23.535203384645616</v>
      </c>
    </row>
    <row r="67" spans="1:18" s="15" customFormat="1" ht="12.75" thickBot="1" x14ac:dyDescent="0.25">
      <c r="B67" s="65" t="s">
        <v>35</v>
      </c>
      <c r="C67" s="66">
        <f t="shared" si="16"/>
        <v>5.1428571428571423</v>
      </c>
      <c r="D67" s="84">
        <f t="shared" si="16"/>
        <v>-21.31622092728206</v>
      </c>
      <c r="E67" s="66">
        <f t="shared" si="16"/>
        <v>112.7659574468085</v>
      </c>
      <c r="F67" s="66">
        <f t="shared" si="16"/>
        <v>-16.315851899836254</v>
      </c>
      <c r="G67" s="94">
        <f t="shared" si="16"/>
        <v>-47.058823529411761</v>
      </c>
      <c r="H67" s="84">
        <f t="shared" si="16"/>
        <v>2770.9800885039449</v>
      </c>
      <c r="I67" s="66">
        <f t="shared" si="16"/>
        <v>-5</v>
      </c>
      <c r="J67" s="66">
        <f t="shared" si="16"/>
        <v>6.017253074042034</v>
      </c>
      <c r="K67" s="94">
        <f t="shared" si="15"/>
        <v>100</v>
      </c>
      <c r="L67" s="84">
        <f t="shared" si="15"/>
        <v>739.55223880597009</v>
      </c>
      <c r="M67" s="94">
        <f t="shared" si="15"/>
        <v>50</v>
      </c>
      <c r="N67" s="84">
        <f t="shared" si="15"/>
        <v>-20.706802081048327</v>
      </c>
      <c r="O67" s="66">
        <f t="shared" si="16"/>
        <v>21.641791044776117</v>
      </c>
      <c r="P67" s="66">
        <f t="shared" si="16"/>
        <v>366.91952557942608</v>
      </c>
    </row>
    <row r="68" spans="1:18" s="15" customFormat="1" ht="14.25" x14ac:dyDescent="0.3">
      <c r="B68" s="16"/>
      <c r="C68" s="17"/>
      <c r="D68" s="18"/>
      <c r="E68" s="17"/>
      <c r="F68" s="18"/>
      <c r="G68" s="17"/>
      <c r="H68" s="18"/>
      <c r="I68" s="17"/>
      <c r="J68" s="18"/>
      <c r="K68" s="17"/>
      <c r="L68" s="18"/>
      <c r="M68" s="19"/>
      <c r="N68" s="18"/>
      <c r="O68" s="18"/>
      <c r="P68" s="18"/>
    </row>
    <row r="69" spans="1:18" customFormat="1" ht="12.75" x14ac:dyDescent="0.2">
      <c r="A69" s="4"/>
      <c r="B69" s="36" t="s">
        <v>47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</row>
    <row r="70" spans="1:18" s="23" customFormat="1" ht="5.25" customHeight="1" x14ac:dyDescent="0.25">
      <c r="B70" s="38"/>
      <c r="C70" s="38"/>
      <c r="D70" s="38"/>
      <c r="E70" s="38"/>
      <c r="F70" s="38"/>
      <c r="G70" s="38"/>
      <c r="H70" s="2"/>
      <c r="I70" s="2"/>
      <c r="J70" s="2"/>
    </row>
    <row r="71" spans="1:18" s="23" customFormat="1" ht="12.75" x14ac:dyDescent="0.2">
      <c r="A71" s="62"/>
      <c r="B71" s="36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</row>
    <row r="72" spans="1:18" ht="12.75" x14ac:dyDescent="0.2">
      <c r="E72" s="11"/>
      <c r="F72"/>
      <c r="G72"/>
      <c r="H72"/>
      <c r="I72"/>
      <c r="J72"/>
      <c r="K72"/>
      <c r="L72"/>
      <c r="M72"/>
      <c r="N72"/>
      <c r="O72"/>
      <c r="P72"/>
      <c r="Q72"/>
      <c r="R72"/>
    </row>
  </sheetData>
  <mergeCells count="8">
    <mergeCell ref="C9:P9"/>
    <mergeCell ref="C10:D10"/>
    <mergeCell ref="E10:F10"/>
    <mergeCell ref="G10:H10"/>
    <mergeCell ref="I10:J10"/>
    <mergeCell ref="M10:N10"/>
    <mergeCell ref="K10:L10"/>
    <mergeCell ref="O10:P10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P71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S23" sqref="S23"/>
    </sheetView>
  </sheetViews>
  <sheetFormatPr defaultRowHeight="11.25" x14ac:dyDescent="0.2"/>
  <cols>
    <col min="1" max="1" width="1.140625" style="2" customWidth="1"/>
    <col min="2" max="2" width="12" style="2" customWidth="1"/>
    <col min="3" max="3" width="8" style="2" bestFit="1" customWidth="1"/>
    <col min="4" max="4" width="12.5703125" style="2" bestFit="1" customWidth="1"/>
    <col min="5" max="5" width="8" style="2" bestFit="1" customWidth="1"/>
    <col min="6" max="6" width="12.5703125" style="2" bestFit="1" customWidth="1"/>
    <col min="7" max="7" width="8.7109375" style="2" bestFit="1" customWidth="1"/>
    <col min="8" max="8" width="12.5703125" style="2" bestFit="1" customWidth="1"/>
    <col min="9" max="9" width="8.7109375" style="2" bestFit="1" customWidth="1"/>
    <col min="10" max="10" width="12.5703125" style="2" bestFit="1" customWidth="1"/>
    <col min="11" max="11" width="8" style="2" bestFit="1" customWidth="1"/>
    <col min="12" max="12" width="12.5703125" style="2" bestFit="1" customWidth="1"/>
    <col min="13" max="13" width="8" style="2" bestFit="1" customWidth="1"/>
    <col min="14" max="14" width="12.5703125" style="2" bestFit="1" customWidth="1"/>
    <col min="15" max="15" width="7.140625" style="9" bestFit="1" customWidth="1"/>
    <col min="16" max="16" width="13.140625" style="9" customWidth="1"/>
    <col min="17" max="16384" width="9.140625" style="2"/>
  </cols>
  <sheetData>
    <row r="2" spans="2:16" s="23" customFormat="1" ht="12.75" x14ac:dyDescent="0.2">
      <c r="B2" s="24" t="str">
        <f ca="1">MID(CELL("filename",A1),FIND("]",CELL("filename",A1))+1,255)</f>
        <v>Table 2.4.3-B5</v>
      </c>
    </row>
    <row r="3" spans="2:16" s="23" customFormat="1" ht="12.75" x14ac:dyDescent="0.2"/>
    <row r="4" spans="2:16" s="23" customFormat="1" ht="12.75" x14ac:dyDescent="0.2">
      <c r="B4" s="1" t="s">
        <v>6</v>
      </c>
    </row>
    <row r="5" spans="2:16" s="23" customFormat="1" ht="12.75" x14ac:dyDescent="0.2">
      <c r="B5" s="1" t="s">
        <v>12</v>
      </c>
    </row>
    <row r="6" spans="2:16" s="23" customFormat="1" ht="12.75" x14ac:dyDescent="0.2">
      <c r="B6" s="1" t="s">
        <v>102</v>
      </c>
    </row>
    <row r="7" spans="2:16" s="23" customFormat="1" ht="12.75" x14ac:dyDescent="0.2">
      <c r="B7" s="1" t="s">
        <v>67</v>
      </c>
    </row>
    <row r="8" spans="2:16" ht="12.75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6" ht="12" x14ac:dyDescent="0.2">
      <c r="B9" s="46"/>
      <c r="C9" s="182" t="s">
        <v>13</v>
      </c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</row>
    <row r="10" spans="2:16" ht="29.25" customHeight="1" x14ac:dyDescent="0.2">
      <c r="B10" s="44"/>
      <c r="C10" s="184" t="s">
        <v>32</v>
      </c>
      <c r="D10" s="185"/>
      <c r="E10" s="186" t="s">
        <v>70</v>
      </c>
      <c r="F10" s="186"/>
      <c r="G10" s="184" t="s">
        <v>31</v>
      </c>
      <c r="H10" s="185"/>
      <c r="I10" s="186" t="s">
        <v>30</v>
      </c>
      <c r="J10" s="185"/>
      <c r="K10" s="184" t="s">
        <v>34</v>
      </c>
      <c r="L10" s="185"/>
      <c r="M10" s="184" t="s">
        <v>33</v>
      </c>
      <c r="N10" s="185"/>
      <c r="O10" s="186" t="s">
        <v>35</v>
      </c>
      <c r="P10" s="186"/>
    </row>
    <row r="11" spans="2:16" ht="12" x14ac:dyDescent="0.2">
      <c r="B11" s="45" t="s">
        <v>29</v>
      </c>
      <c r="C11" s="146" t="s">
        <v>2</v>
      </c>
      <c r="D11" s="147" t="s">
        <v>3</v>
      </c>
      <c r="E11" s="148" t="s">
        <v>2</v>
      </c>
      <c r="F11" s="148" t="s">
        <v>3</v>
      </c>
      <c r="G11" s="154" t="s">
        <v>2</v>
      </c>
      <c r="H11" s="153" t="s">
        <v>3</v>
      </c>
      <c r="I11" s="148" t="s">
        <v>2</v>
      </c>
      <c r="J11" s="147" t="s">
        <v>3</v>
      </c>
      <c r="K11" s="146" t="s">
        <v>2</v>
      </c>
      <c r="L11" s="147" t="s">
        <v>3</v>
      </c>
      <c r="M11" s="146" t="s">
        <v>2</v>
      </c>
      <c r="N11" s="147" t="s">
        <v>3</v>
      </c>
      <c r="O11" s="148" t="s">
        <v>2</v>
      </c>
      <c r="P11" s="148" t="s">
        <v>3</v>
      </c>
    </row>
    <row r="12" spans="2:16" ht="12.75" x14ac:dyDescent="0.2">
      <c r="B12" s="48">
        <v>2008</v>
      </c>
      <c r="C12" s="49"/>
      <c r="D12" s="77"/>
      <c r="E12" s="49"/>
      <c r="F12" s="49"/>
      <c r="G12" s="86"/>
      <c r="H12" s="77"/>
      <c r="I12" s="49"/>
      <c r="J12" s="49"/>
      <c r="K12" s="86"/>
      <c r="L12" s="77"/>
      <c r="M12" s="86"/>
      <c r="N12" s="77"/>
      <c r="O12" s="49"/>
      <c r="P12" s="49"/>
    </row>
    <row r="13" spans="2:16" ht="12" x14ac:dyDescent="0.2">
      <c r="B13" s="64" t="s">
        <v>14</v>
      </c>
      <c r="C13" s="71">
        <f>+'[8]Statisitcal Data'!C8</f>
        <v>14</v>
      </c>
      <c r="D13" s="78">
        <f>+'[8]Statisitcal Data'!D8</f>
        <v>1803187.5</v>
      </c>
      <c r="E13" s="71">
        <f>+'[8]Statisitcal Data'!E8</f>
        <v>3</v>
      </c>
      <c r="F13" s="50">
        <f>+'[8]Statisitcal Data'!F8</f>
        <v>1710046.5</v>
      </c>
      <c r="G13" s="87">
        <f>+'[8]Statisitcal Data'!G8</f>
        <v>0</v>
      </c>
      <c r="H13" s="78">
        <f>+'[8]Statisitcal Data'!H8</f>
        <v>0</v>
      </c>
      <c r="I13" s="71">
        <f>+'[8]Statisitcal Data'!I8</f>
        <v>0</v>
      </c>
      <c r="J13" s="50">
        <f>+'[8]Statisitcal Data'!J8</f>
        <v>0</v>
      </c>
      <c r="K13" s="87">
        <f>+'[8]Statisitcal Data'!K8</f>
        <v>0</v>
      </c>
      <c r="L13" s="78">
        <f>+'[8]Statisitcal Data'!L8</f>
        <v>0</v>
      </c>
      <c r="M13" s="87">
        <f>+'[8]Statisitcal Data'!M8</f>
        <v>0</v>
      </c>
      <c r="N13" s="78">
        <f>+'[8]Statisitcal Data'!N8</f>
        <v>0</v>
      </c>
      <c r="O13" s="71">
        <f t="shared" ref="O13:P15" si="0">+C13+E13+G13+I13+M13+K13</f>
        <v>17</v>
      </c>
      <c r="P13" s="50">
        <f t="shared" si="0"/>
        <v>3513234</v>
      </c>
    </row>
    <row r="14" spans="2:16" ht="12" x14ac:dyDescent="0.2">
      <c r="B14" s="64" t="s">
        <v>15</v>
      </c>
      <c r="C14" s="71">
        <f>+'[8]Statisitcal Data'!C9</f>
        <v>14</v>
      </c>
      <c r="D14" s="78">
        <f>+'[8]Statisitcal Data'!D9</f>
        <v>1214515.5</v>
      </c>
      <c r="E14" s="71">
        <f>+'[8]Statisitcal Data'!E9</f>
        <v>1</v>
      </c>
      <c r="F14" s="50">
        <f>+'[8]Statisitcal Data'!F9</f>
        <v>306900</v>
      </c>
      <c r="G14" s="87">
        <f>+'[8]Statisitcal Data'!G9</f>
        <v>0</v>
      </c>
      <c r="H14" s="78">
        <f>+'[8]Statisitcal Data'!H9</f>
        <v>0</v>
      </c>
      <c r="I14" s="71">
        <f>+'[8]Statisitcal Data'!I9</f>
        <v>1</v>
      </c>
      <c r="J14" s="50">
        <f>+'[8]Statisitcal Data'!J9</f>
        <v>173067</v>
      </c>
      <c r="K14" s="87">
        <f>+'[8]Statisitcal Data'!K9</f>
        <v>0</v>
      </c>
      <c r="L14" s="78">
        <f>+'[8]Statisitcal Data'!L9</f>
        <v>0</v>
      </c>
      <c r="M14" s="87">
        <f>+'[8]Statisitcal Data'!M9</f>
        <v>0</v>
      </c>
      <c r="N14" s="78">
        <f>+'[8]Statisitcal Data'!N9</f>
        <v>0</v>
      </c>
      <c r="O14" s="71">
        <f t="shared" si="0"/>
        <v>16</v>
      </c>
      <c r="P14" s="50">
        <f t="shared" si="0"/>
        <v>1694482.5</v>
      </c>
    </row>
    <row r="15" spans="2:16" ht="12" x14ac:dyDescent="0.2">
      <c r="B15" s="64" t="s">
        <v>16</v>
      </c>
      <c r="C15" s="71">
        <f>+'[8]Statisitcal Data'!C10</f>
        <v>11</v>
      </c>
      <c r="D15" s="78">
        <f>+'[8]Statisitcal Data'!D10</f>
        <v>795000</v>
      </c>
      <c r="E15" s="71">
        <f>+'[8]Statisitcal Data'!E10</f>
        <v>7</v>
      </c>
      <c r="F15" s="50">
        <f>+'[8]Statisitcal Data'!F10</f>
        <v>795000</v>
      </c>
      <c r="G15" s="87">
        <f>+'[8]Statisitcal Data'!G10</f>
        <v>0</v>
      </c>
      <c r="H15" s="78">
        <f>+'[8]Statisitcal Data'!H10</f>
        <v>1012200</v>
      </c>
      <c r="I15" s="71">
        <f>+'[8]Statisitcal Data'!I10</f>
        <v>0</v>
      </c>
      <c r="J15" s="50">
        <f>+'[8]Statisitcal Data'!J10</f>
        <v>0</v>
      </c>
      <c r="K15" s="87">
        <f>+'[8]Statisitcal Data'!K10</f>
        <v>0</v>
      </c>
      <c r="L15" s="78">
        <f>+'[8]Statisitcal Data'!L10</f>
        <v>0</v>
      </c>
      <c r="M15" s="87">
        <f>+'[8]Statisitcal Data'!M10</f>
        <v>1</v>
      </c>
      <c r="N15" s="78">
        <f>+'[8]Statisitcal Data'!N10</f>
        <v>420000</v>
      </c>
      <c r="O15" s="71">
        <f t="shared" si="0"/>
        <v>19</v>
      </c>
      <c r="P15" s="50">
        <f t="shared" si="0"/>
        <v>3022200</v>
      </c>
    </row>
    <row r="16" spans="2:16" ht="12" x14ac:dyDescent="0.2">
      <c r="B16" s="51" t="s">
        <v>17</v>
      </c>
      <c r="C16" s="72">
        <f>SUM(C13:C15)</f>
        <v>39</v>
      </c>
      <c r="D16" s="79">
        <f t="shared" ref="D16:J16" si="1">SUM(D13:D15)</f>
        <v>3812703</v>
      </c>
      <c r="E16" s="72">
        <f t="shared" si="1"/>
        <v>11</v>
      </c>
      <c r="F16" s="52">
        <f t="shared" si="1"/>
        <v>2811946.5</v>
      </c>
      <c r="G16" s="88">
        <f t="shared" si="1"/>
        <v>0</v>
      </c>
      <c r="H16" s="79">
        <f t="shared" si="1"/>
        <v>1012200</v>
      </c>
      <c r="I16" s="72">
        <f t="shared" si="1"/>
        <v>1</v>
      </c>
      <c r="J16" s="52">
        <f t="shared" si="1"/>
        <v>173067</v>
      </c>
      <c r="K16" s="88">
        <f>SUM(K13:K15)</f>
        <v>0</v>
      </c>
      <c r="L16" s="79">
        <f>SUM(L13:L15)</f>
        <v>0</v>
      </c>
      <c r="M16" s="88">
        <f>SUM(M13:M15)</f>
        <v>1</v>
      </c>
      <c r="N16" s="79">
        <f>SUM(N13:N15)</f>
        <v>420000</v>
      </c>
      <c r="O16" s="72">
        <f t="shared" ref="O16:O29" si="2">+C16+E16+G16+I16+M16+K16</f>
        <v>52</v>
      </c>
      <c r="P16" s="52">
        <f>SUM(P13:P15)</f>
        <v>8229916.5</v>
      </c>
    </row>
    <row r="17" spans="2:16" ht="12" x14ac:dyDescent="0.2">
      <c r="B17" s="64" t="s">
        <v>18</v>
      </c>
      <c r="C17" s="71">
        <f>+'[8]Statisitcal Data'!C12</f>
        <v>12</v>
      </c>
      <c r="D17" s="78">
        <f>+'[8]Statisitcal Data'!D12</f>
        <v>1653571.5</v>
      </c>
      <c r="E17" s="71">
        <f>+'[8]Statisitcal Data'!E12</f>
        <v>1</v>
      </c>
      <c r="F17" s="50">
        <f>+'[8]Statisitcal Data'!F12</f>
        <v>1653571.5</v>
      </c>
      <c r="G17" s="87">
        <f>+'[8]Statisitcal Data'!G12</f>
        <v>1</v>
      </c>
      <c r="H17" s="78">
        <f>+'[8]Statisitcal Data'!H12</f>
        <v>749665.50000000012</v>
      </c>
      <c r="I17" s="71">
        <f>+'[8]Statisitcal Data'!I12</f>
        <v>1</v>
      </c>
      <c r="J17" s="50">
        <f>+'[8]Statisitcal Data'!J12</f>
        <v>1042800</v>
      </c>
      <c r="K17" s="87">
        <f>+'[8]Statisitcal Data'!K12</f>
        <v>0</v>
      </c>
      <c r="L17" s="78">
        <f>+'[8]Statisitcal Data'!L12</f>
        <v>0</v>
      </c>
      <c r="M17" s="87">
        <f>+'[8]Statisitcal Data'!M12</f>
        <v>0</v>
      </c>
      <c r="N17" s="78">
        <f>+'[8]Statisitcal Data'!N12</f>
        <v>0</v>
      </c>
      <c r="O17" s="71">
        <f t="shared" si="2"/>
        <v>15</v>
      </c>
      <c r="P17" s="50">
        <f>+D17+F17+H17+J17+N17+L17</f>
        <v>5099608.5</v>
      </c>
    </row>
    <row r="18" spans="2:16" ht="12" x14ac:dyDescent="0.2">
      <c r="B18" s="64" t="s">
        <v>19</v>
      </c>
      <c r="C18" s="71">
        <f>+'[8]Statisitcal Data'!C13</f>
        <v>9</v>
      </c>
      <c r="D18" s="78">
        <f>+'[8]Statisitcal Data'!D13</f>
        <v>795000</v>
      </c>
      <c r="E18" s="71">
        <f>+'[8]Statisitcal Data'!E13</f>
        <v>8</v>
      </c>
      <c r="F18" s="50">
        <f>+'[8]Statisitcal Data'!F13</f>
        <v>1204650</v>
      </c>
      <c r="G18" s="87">
        <f>+'[8]Statisitcal Data'!G13</f>
        <v>3</v>
      </c>
      <c r="H18" s="78">
        <f>+'[8]Statisitcal Data'!H13</f>
        <v>1012200</v>
      </c>
      <c r="I18" s="71">
        <f>+'[8]Statisitcal Data'!I13</f>
        <v>0</v>
      </c>
      <c r="J18" s="50">
        <f>+'[8]Statisitcal Data'!J13</f>
        <v>0</v>
      </c>
      <c r="K18" s="87">
        <f>+'[8]Statisitcal Data'!K13</f>
        <v>0</v>
      </c>
      <c r="L18" s="78">
        <f>+'[8]Statisitcal Data'!L13</f>
        <v>0</v>
      </c>
      <c r="M18" s="87">
        <f>+'[8]Statisitcal Data'!M13</f>
        <v>3</v>
      </c>
      <c r="N18" s="78">
        <f>+'[8]Statisitcal Data'!N13</f>
        <v>420000</v>
      </c>
      <c r="O18" s="71">
        <f t="shared" si="2"/>
        <v>23</v>
      </c>
      <c r="P18" s="50">
        <f>+D18+F18+H18+J18+N18+L18</f>
        <v>3431850</v>
      </c>
    </row>
    <row r="19" spans="2:16" ht="12" x14ac:dyDescent="0.2">
      <c r="B19" s="64" t="s">
        <v>20</v>
      </c>
      <c r="C19" s="71">
        <f>+'[8]Statisitcal Data'!C14</f>
        <v>11</v>
      </c>
      <c r="D19" s="78">
        <f>+'[8]Statisitcal Data'!D14</f>
        <v>2074929</v>
      </c>
      <c r="E19" s="71">
        <f>+'[8]Statisitcal Data'!E14</f>
        <v>5</v>
      </c>
      <c r="F19" s="50">
        <f>+'[8]Statisitcal Data'!F14</f>
        <v>961950</v>
      </c>
      <c r="G19" s="87">
        <f>+'[8]Statisitcal Data'!G14</f>
        <v>1</v>
      </c>
      <c r="H19" s="78">
        <f>+'[8]Statisitcal Data'!H14</f>
        <v>3594000</v>
      </c>
      <c r="I19" s="71">
        <f>+'[8]Statisitcal Data'!I14</f>
        <v>1</v>
      </c>
      <c r="J19" s="50">
        <f>+'[8]Statisitcal Data'!J14</f>
        <v>359625</v>
      </c>
      <c r="K19" s="87">
        <f>+'[8]Statisitcal Data'!K14</f>
        <v>0</v>
      </c>
      <c r="L19" s="78">
        <f>+'[8]Statisitcal Data'!L14</f>
        <v>0</v>
      </c>
      <c r="M19" s="87">
        <f>+'[8]Statisitcal Data'!M14</f>
        <v>1</v>
      </c>
      <c r="N19" s="78">
        <f>+'[8]Statisitcal Data'!N14</f>
        <v>2062950</v>
      </c>
      <c r="O19" s="71">
        <f t="shared" si="2"/>
        <v>19</v>
      </c>
      <c r="P19" s="50">
        <f>+D19+F19+H19+J19+N19+L19</f>
        <v>9053454</v>
      </c>
    </row>
    <row r="20" spans="2:16" ht="12" x14ac:dyDescent="0.2">
      <c r="B20" s="51" t="s">
        <v>21</v>
      </c>
      <c r="C20" s="72">
        <f t="shared" ref="C20:J20" si="3">SUM(C17:C19)</f>
        <v>32</v>
      </c>
      <c r="D20" s="79">
        <f t="shared" si="3"/>
        <v>4523500.5</v>
      </c>
      <c r="E20" s="72">
        <f t="shared" si="3"/>
        <v>14</v>
      </c>
      <c r="F20" s="52">
        <f t="shared" si="3"/>
        <v>3820171.5</v>
      </c>
      <c r="G20" s="88">
        <f t="shared" si="3"/>
        <v>5</v>
      </c>
      <c r="H20" s="79">
        <f t="shared" si="3"/>
        <v>5355865.5</v>
      </c>
      <c r="I20" s="72">
        <f t="shared" si="3"/>
        <v>2</v>
      </c>
      <c r="J20" s="52">
        <f t="shared" si="3"/>
        <v>1402425</v>
      </c>
      <c r="K20" s="88">
        <f>SUM(K17:K19)</f>
        <v>0</v>
      </c>
      <c r="L20" s="79">
        <f>SUM(L17:L19)</f>
        <v>0</v>
      </c>
      <c r="M20" s="88">
        <f>SUM(M17:M19)</f>
        <v>4</v>
      </c>
      <c r="N20" s="79">
        <f>SUM(N17:N19)</f>
        <v>2482950</v>
      </c>
      <c r="O20" s="72">
        <f t="shared" si="2"/>
        <v>57</v>
      </c>
      <c r="P20" s="52">
        <f>SUM(P17:P19)</f>
        <v>17584912.5</v>
      </c>
    </row>
    <row r="21" spans="2:16" ht="12" x14ac:dyDescent="0.2">
      <c r="B21" s="64" t="s">
        <v>22</v>
      </c>
      <c r="C21" s="71">
        <f>+'[8]Statisitcal Data'!C16</f>
        <v>20</v>
      </c>
      <c r="D21" s="78">
        <f>+'[8]Statisitcal Data'!D16</f>
        <v>1937700</v>
      </c>
      <c r="E21" s="71">
        <f>+'[8]Statisitcal Data'!E16</f>
        <v>10</v>
      </c>
      <c r="F21" s="50">
        <f>+'[8]Statisitcal Data'!F16</f>
        <v>1937700</v>
      </c>
      <c r="G21" s="87">
        <f>+'[8]Statisitcal Data'!G16</f>
        <v>1</v>
      </c>
      <c r="H21" s="78">
        <f>+'[8]Statisitcal Data'!H16</f>
        <v>582300</v>
      </c>
      <c r="I21" s="71">
        <f>+'[8]Statisitcal Data'!I16</f>
        <v>1</v>
      </c>
      <c r="J21" s="50">
        <f>+'[8]Statisitcal Data'!J16</f>
        <v>244200</v>
      </c>
      <c r="K21" s="87">
        <f>+'[8]Statisitcal Data'!K16</f>
        <v>0</v>
      </c>
      <c r="L21" s="78">
        <f>+'[8]Statisitcal Data'!L16</f>
        <v>0</v>
      </c>
      <c r="M21" s="87">
        <f>+'[8]Statisitcal Data'!M16</f>
        <v>1</v>
      </c>
      <c r="N21" s="78">
        <f>+'[8]Statisitcal Data'!N16</f>
        <v>421500</v>
      </c>
      <c r="O21" s="71">
        <f t="shared" si="2"/>
        <v>33</v>
      </c>
      <c r="P21" s="50">
        <f>+D21+F21+H21+J21+N21+L21</f>
        <v>5123400</v>
      </c>
    </row>
    <row r="22" spans="2:16" ht="12" x14ac:dyDescent="0.2">
      <c r="B22" s="64" t="s">
        <v>23</v>
      </c>
      <c r="C22" s="71">
        <f>+'[8]Statisitcal Data'!C17</f>
        <v>11</v>
      </c>
      <c r="D22" s="78">
        <f>+'[8]Statisitcal Data'!D17</f>
        <v>1434750</v>
      </c>
      <c r="E22" s="71">
        <f>+'[8]Statisitcal Data'!E17</f>
        <v>6</v>
      </c>
      <c r="F22" s="50">
        <f>+'[8]Statisitcal Data'!F17</f>
        <v>939300</v>
      </c>
      <c r="G22" s="87">
        <f>+'[8]Statisitcal Data'!G17</f>
        <v>0</v>
      </c>
      <c r="H22" s="78">
        <f>+'[8]Statisitcal Data'!H17</f>
        <v>0</v>
      </c>
      <c r="I22" s="71">
        <f>+'[8]Statisitcal Data'!I17</f>
        <v>0</v>
      </c>
      <c r="J22" s="50">
        <f>+'[8]Statisitcal Data'!J17</f>
        <v>0</v>
      </c>
      <c r="K22" s="87">
        <f>+'[8]Statisitcal Data'!K17</f>
        <v>0</v>
      </c>
      <c r="L22" s="78">
        <f>+'[8]Statisitcal Data'!L17</f>
        <v>0</v>
      </c>
      <c r="M22" s="87">
        <f>+'[8]Statisitcal Data'!M17</f>
        <v>0</v>
      </c>
      <c r="N22" s="78">
        <f>+'[8]Statisitcal Data'!N17</f>
        <v>0</v>
      </c>
      <c r="O22" s="71">
        <f t="shared" si="2"/>
        <v>17</v>
      </c>
      <c r="P22" s="50">
        <f>+D22+F22+H22+J22+N22+L22</f>
        <v>2374050</v>
      </c>
    </row>
    <row r="23" spans="2:16" ht="12" x14ac:dyDescent="0.2">
      <c r="B23" s="64" t="s">
        <v>36</v>
      </c>
      <c r="C23" s="71">
        <f>+'[8]Statisitcal Data'!C18</f>
        <v>14</v>
      </c>
      <c r="D23" s="78">
        <f>+'[8]Statisitcal Data'!D18</f>
        <v>1717950</v>
      </c>
      <c r="E23" s="71">
        <f>+'[8]Statisitcal Data'!E18</f>
        <v>9</v>
      </c>
      <c r="F23" s="50">
        <f>+'[8]Statisitcal Data'!F18</f>
        <v>1680420</v>
      </c>
      <c r="G23" s="87">
        <f>+'[8]Statisitcal Data'!G18</f>
        <v>1</v>
      </c>
      <c r="H23" s="78">
        <f>+'[8]Statisitcal Data'!H18</f>
        <v>29475900</v>
      </c>
      <c r="I23" s="71">
        <f>+'[8]Statisitcal Data'!I18</f>
        <v>1</v>
      </c>
      <c r="J23" s="50">
        <f>+'[8]Statisitcal Data'!J18</f>
        <v>105300</v>
      </c>
      <c r="K23" s="87">
        <f>+'[8]Statisitcal Data'!K18</f>
        <v>0</v>
      </c>
      <c r="L23" s="78">
        <f>+'[8]Statisitcal Data'!L18</f>
        <v>0</v>
      </c>
      <c r="M23" s="87">
        <f>+'[8]Statisitcal Data'!M18</f>
        <v>2</v>
      </c>
      <c r="N23" s="78">
        <f>+'[8]Statisitcal Data'!N18</f>
        <v>798150</v>
      </c>
      <c r="O23" s="71">
        <f t="shared" si="2"/>
        <v>27</v>
      </c>
      <c r="P23" s="50">
        <f>+D23+F23+H23+J23+N23+L23</f>
        <v>33777720</v>
      </c>
    </row>
    <row r="24" spans="2:16" ht="12" x14ac:dyDescent="0.2">
      <c r="B24" s="51" t="s">
        <v>24</v>
      </c>
      <c r="C24" s="72">
        <f t="shared" ref="C24:J24" si="4">SUM(C21:C23)</f>
        <v>45</v>
      </c>
      <c r="D24" s="79">
        <f t="shared" si="4"/>
        <v>5090400</v>
      </c>
      <c r="E24" s="72">
        <f t="shared" si="4"/>
        <v>25</v>
      </c>
      <c r="F24" s="52">
        <f t="shared" si="4"/>
        <v>4557420</v>
      </c>
      <c r="G24" s="88">
        <f t="shared" si="4"/>
        <v>2</v>
      </c>
      <c r="H24" s="79">
        <f t="shared" si="4"/>
        <v>30058200</v>
      </c>
      <c r="I24" s="72">
        <f t="shared" si="4"/>
        <v>2</v>
      </c>
      <c r="J24" s="52">
        <f t="shared" si="4"/>
        <v>349500</v>
      </c>
      <c r="K24" s="88">
        <f>SUM(K21:K23)</f>
        <v>0</v>
      </c>
      <c r="L24" s="79">
        <f>SUM(L21:L23)</f>
        <v>0</v>
      </c>
      <c r="M24" s="88">
        <f>SUM(M21:M23)</f>
        <v>3</v>
      </c>
      <c r="N24" s="79">
        <f>SUM(N21:N23)</f>
        <v>1219650</v>
      </c>
      <c r="O24" s="72">
        <f t="shared" si="2"/>
        <v>77</v>
      </c>
      <c r="P24" s="52">
        <f>SUM(P21:P23)</f>
        <v>41275170</v>
      </c>
    </row>
    <row r="25" spans="2:16" ht="12" x14ac:dyDescent="0.2">
      <c r="B25" s="64" t="s">
        <v>25</v>
      </c>
      <c r="C25" s="71">
        <f>+'[8]Statisitcal Data'!C20</f>
        <v>12</v>
      </c>
      <c r="D25" s="78">
        <f>+'[8]Statisitcal Data'!D20</f>
        <v>1128300</v>
      </c>
      <c r="E25" s="71">
        <f>+'[8]Statisitcal Data'!E20</f>
        <v>6</v>
      </c>
      <c r="F25" s="50">
        <f>+'[8]Statisitcal Data'!F20</f>
        <v>870900</v>
      </c>
      <c r="G25" s="87">
        <f>+'[8]Statisitcal Data'!G20</f>
        <v>0</v>
      </c>
      <c r="H25" s="78">
        <f>+'[8]Statisitcal Data'!H20</f>
        <v>0</v>
      </c>
      <c r="I25" s="71">
        <f>+'[8]Statisitcal Data'!I20</f>
        <v>0</v>
      </c>
      <c r="J25" s="50">
        <f>+'[8]Statisitcal Data'!J20</f>
        <v>0</v>
      </c>
      <c r="K25" s="87">
        <f>+'[8]Statisitcal Data'!K20</f>
        <v>0</v>
      </c>
      <c r="L25" s="78">
        <f>+'[8]Statisitcal Data'!L20</f>
        <v>0</v>
      </c>
      <c r="M25" s="87">
        <f>+'[8]Statisitcal Data'!M20</f>
        <v>1</v>
      </c>
      <c r="N25" s="78">
        <f>+'[8]Statisitcal Data'!N20</f>
        <v>1431000</v>
      </c>
      <c r="O25" s="71">
        <f t="shared" si="2"/>
        <v>19</v>
      </c>
      <c r="P25" s="50">
        <f>+D25+F25+H25+J25+N25+L25</f>
        <v>3430200</v>
      </c>
    </row>
    <row r="26" spans="2:16" ht="12" x14ac:dyDescent="0.2">
      <c r="B26" s="64" t="s">
        <v>26</v>
      </c>
      <c r="C26" s="71">
        <f>+'[8]Statisitcal Data'!C21</f>
        <v>17</v>
      </c>
      <c r="D26" s="78">
        <f>+'[8]Statisitcal Data'!D21</f>
        <v>1409100</v>
      </c>
      <c r="E26" s="71">
        <f>+'[8]Statisitcal Data'!E21</f>
        <v>10</v>
      </c>
      <c r="F26" s="50">
        <f>+'[8]Statisitcal Data'!F21</f>
        <v>858613.5</v>
      </c>
      <c r="G26" s="87">
        <f>+'[8]Statisitcal Data'!G21</f>
        <v>0</v>
      </c>
      <c r="H26" s="78">
        <f>+'[8]Statisitcal Data'!H21</f>
        <v>0</v>
      </c>
      <c r="I26" s="71">
        <f>+'[8]Statisitcal Data'!I21</f>
        <v>0</v>
      </c>
      <c r="J26" s="50">
        <f>+'[8]Statisitcal Data'!J21</f>
        <v>0</v>
      </c>
      <c r="K26" s="87">
        <f>+'[8]Statisitcal Data'!K21</f>
        <v>0</v>
      </c>
      <c r="L26" s="78">
        <f>+'[8]Statisitcal Data'!L21</f>
        <v>0</v>
      </c>
      <c r="M26" s="87">
        <f>+'[8]Statisitcal Data'!M21</f>
        <v>0</v>
      </c>
      <c r="N26" s="78">
        <f>+'[8]Statisitcal Data'!N21</f>
        <v>0</v>
      </c>
      <c r="O26" s="71">
        <f t="shared" si="2"/>
        <v>27</v>
      </c>
      <c r="P26" s="50">
        <f>+D26+F26+H26+J26+N26+L26</f>
        <v>2267713.5</v>
      </c>
    </row>
    <row r="27" spans="2:16" ht="12" x14ac:dyDescent="0.2">
      <c r="B27" s="64" t="s">
        <v>27</v>
      </c>
      <c r="C27" s="71">
        <f>+'[8]Statisitcal Data'!C22</f>
        <v>5</v>
      </c>
      <c r="D27" s="78">
        <f>+'[8]Statisitcal Data'!D22</f>
        <v>5474850</v>
      </c>
      <c r="E27" s="71">
        <f>+'[8]Statisitcal Data'!E22</f>
        <v>2</v>
      </c>
      <c r="F27" s="50">
        <f>+'[8]Statisitcal Data'!F22</f>
        <v>962550</v>
      </c>
      <c r="G27" s="87">
        <f>+'[8]Statisitcal Data'!G22</f>
        <v>1</v>
      </c>
      <c r="H27" s="78">
        <f>+'[8]Statisitcal Data'!H22</f>
        <v>1320000</v>
      </c>
      <c r="I27" s="71">
        <f>+'[8]Statisitcal Data'!I22</f>
        <v>2</v>
      </c>
      <c r="J27" s="50">
        <f>+'[8]Statisitcal Data'!J22</f>
        <v>378600</v>
      </c>
      <c r="K27" s="87">
        <f>+'[8]Statisitcal Data'!K22</f>
        <v>0</v>
      </c>
      <c r="L27" s="78">
        <f>+'[8]Statisitcal Data'!L22</f>
        <v>0</v>
      </c>
      <c r="M27" s="87">
        <f>+'[8]Statisitcal Data'!M22</f>
        <v>2</v>
      </c>
      <c r="N27" s="78">
        <f>+'[8]Statisitcal Data'!N22</f>
        <v>716100</v>
      </c>
      <c r="O27" s="71">
        <f t="shared" si="2"/>
        <v>12</v>
      </c>
      <c r="P27" s="50">
        <f>+D27+F27+H27+J27+N27+L27</f>
        <v>8852100</v>
      </c>
    </row>
    <row r="28" spans="2:16" s="9" customFormat="1" ht="12" x14ac:dyDescent="0.2">
      <c r="B28" s="51" t="s">
        <v>28</v>
      </c>
      <c r="C28" s="72">
        <f t="shared" ref="C28:J28" si="5">SUM(C25:C27)</f>
        <v>34</v>
      </c>
      <c r="D28" s="79">
        <f>SUM(D25:D27)</f>
        <v>8012250</v>
      </c>
      <c r="E28" s="72">
        <f t="shared" si="5"/>
        <v>18</v>
      </c>
      <c r="F28" s="52">
        <f t="shared" si="5"/>
        <v>2692063.5</v>
      </c>
      <c r="G28" s="88">
        <f>SUM(G25:G27)</f>
        <v>1</v>
      </c>
      <c r="H28" s="79">
        <f t="shared" si="5"/>
        <v>1320000</v>
      </c>
      <c r="I28" s="72">
        <f t="shared" si="5"/>
        <v>2</v>
      </c>
      <c r="J28" s="52">
        <f t="shared" si="5"/>
        <v>378600</v>
      </c>
      <c r="K28" s="88">
        <f>SUM(K25:K27)</f>
        <v>0</v>
      </c>
      <c r="L28" s="79">
        <f>SUM(L25:L27)</f>
        <v>0</v>
      </c>
      <c r="M28" s="88">
        <f>SUM(M25:M27)</f>
        <v>3</v>
      </c>
      <c r="N28" s="79">
        <f>SUM(N25:N27)</f>
        <v>2147100</v>
      </c>
      <c r="O28" s="72">
        <f t="shared" si="2"/>
        <v>58</v>
      </c>
      <c r="P28" s="52">
        <f>SUM(P25:P27)</f>
        <v>14550013.5</v>
      </c>
    </row>
    <row r="29" spans="2:16" s="9" customFormat="1" ht="12" x14ac:dyDescent="0.2">
      <c r="B29" s="45" t="s">
        <v>35</v>
      </c>
      <c r="C29" s="73">
        <f t="shared" ref="C29:J29" si="6">+C16+C20+C24+C28</f>
        <v>150</v>
      </c>
      <c r="D29" s="80">
        <f t="shared" si="6"/>
        <v>21438853.5</v>
      </c>
      <c r="E29" s="73">
        <f t="shared" si="6"/>
        <v>68</v>
      </c>
      <c r="F29" s="53">
        <f t="shared" si="6"/>
        <v>13881601.5</v>
      </c>
      <c r="G29" s="89">
        <f t="shared" si="6"/>
        <v>8</v>
      </c>
      <c r="H29" s="80">
        <f t="shared" si="6"/>
        <v>37746265.5</v>
      </c>
      <c r="I29" s="73">
        <f t="shared" si="6"/>
        <v>7</v>
      </c>
      <c r="J29" s="53">
        <f t="shared" si="6"/>
        <v>2303592</v>
      </c>
      <c r="K29" s="89">
        <f>+K16+K20+K24+K28</f>
        <v>0</v>
      </c>
      <c r="L29" s="80">
        <f>+L16+L20+L24+L28</f>
        <v>0</v>
      </c>
      <c r="M29" s="89">
        <f>+M16+M20+M24+M28</f>
        <v>11</v>
      </c>
      <c r="N29" s="80">
        <f>+N16+N20+N24+N28</f>
        <v>6269700</v>
      </c>
      <c r="O29" s="73">
        <f t="shared" si="2"/>
        <v>244</v>
      </c>
      <c r="P29" s="53">
        <f>P16+P20+P24+P28</f>
        <v>81640012.5</v>
      </c>
    </row>
    <row r="30" spans="2:16" s="9" customFormat="1" ht="12" x14ac:dyDescent="0.2">
      <c r="B30" s="45"/>
      <c r="C30" s="68"/>
      <c r="D30" s="54"/>
      <c r="E30" s="68"/>
      <c r="F30" s="54"/>
      <c r="G30" s="68"/>
      <c r="H30" s="54"/>
      <c r="I30" s="68"/>
      <c r="J30" s="54"/>
      <c r="K30" s="68"/>
      <c r="L30" s="54"/>
      <c r="M30" s="68"/>
      <c r="N30" s="54"/>
      <c r="O30" s="68"/>
      <c r="P30" s="54"/>
    </row>
    <row r="31" spans="2:16" s="9" customFormat="1" ht="12.75" x14ac:dyDescent="0.2">
      <c r="B31" s="55">
        <v>2009</v>
      </c>
      <c r="C31" s="69"/>
      <c r="D31" s="81"/>
      <c r="E31" s="69"/>
      <c r="F31" s="56"/>
      <c r="G31" s="90"/>
      <c r="H31" s="81"/>
      <c r="I31" s="69"/>
      <c r="J31" s="56"/>
      <c r="K31" s="90"/>
      <c r="L31" s="81"/>
      <c r="M31" s="90"/>
      <c r="N31" s="81"/>
      <c r="O31" s="69"/>
      <c r="P31" s="56"/>
    </row>
    <row r="32" spans="2:16" s="15" customFormat="1" ht="12" x14ac:dyDescent="0.2">
      <c r="B32" s="64" t="s">
        <v>14</v>
      </c>
      <c r="C32" s="71">
        <f>+'[9]Statistical Data'!C8</f>
        <v>18</v>
      </c>
      <c r="D32" s="78">
        <f>+'[9]Statistical Data'!D8</f>
        <v>1807050</v>
      </c>
      <c r="E32" s="71">
        <f>+'[9]Statistical Data'!E8</f>
        <v>12</v>
      </c>
      <c r="F32" s="50">
        <f>+'[9]Statistical Data'!F8</f>
        <v>1788600</v>
      </c>
      <c r="G32" s="87">
        <f>+'[9]Statistical Data'!G8</f>
        <v>0</v>
      </c>
      <c r="H32" s="78">
        <f>+'[9]Statistical Data'!H8</f>
        <v>0</v>
      </c>
      <c r="I32" s="71">
        <f>+'[9]Statistical Data'!I8</f>
        <v>0</v>
      </c>
      <c r="J32" s="50">
        <f>+'[9]Statistical Data'!J8</f>
        <v>0</v>
      </c>
      <c r="K32" s="87">
        <f>+'[9]Statistical Data'!K8</f>
        <v>0</v>
      </c>
      <c r="L32" s="78">
        <f>+'[9]Statistical Data'!L8</f>
        <v>0</v>
      </c>
      <c r="M32" s="87">
        <f>+'[9]Statistical Data'!M8</f>
        <v>1</v>
      </c>
      <c r="N32" s="78">
        <f>+'[9]Statistical Data'!N8</f>
        <v>4872900</v>
      </c>
      <c r="O32" s="71">
        <f t="shared" ref="O32:P34" si="7">+C32+E32+G32+I32+M32+K32</f>
        <v>31</v>
      </c>
      <c r="P32" s="50">
        <f t="shared" si="7"/>
        <v>8468550</v>
      </c>
    </row>
    <row r="33" spans="2:16" s="15" customFormat="1" ht="12" x14ac:dyDescent="0.2">
      <c r="B33" s="64" t="s">
        <v>15</v>
      </c>
      <c r="C33" s="71">
        <f>+'[9]Statistical Data'!C9</f>
        <v>11</v>
      </c>
      <c r="D33" s="78">
        <f>+'[9]Statistical Data'!D9</f>
        <v>1393800</v>
      </c>
      <c r="E33" s="71">
        <f>+'[9]Statistical Data'!E9</f>
        <v>4</v>
      </c>
      <c r="F33" s="50">
        <f>+'[9]Statistical Data'!F9</f>
        <v>1269900</v>
      </c>
      <c r="G33" s="87">
        <f>+'[9]Statistical Data'!G9</f>
        <v>2</v>
      </c>
      <c r="H33" s="78">
        <f>+'[9]Statistical Data'!H9</f>
        <v>721800</v>
      </c>
      <c r="I33" s="71">
        <f>+'[9]Statistical Data'!I9</f>
        <v>1</v>
      </c>
      <c r="J33" s="50">
        <f>+'[9]Statistical Data'!J9</f>
        <v>337050</v>
      </c>
      <c r="K33" s="87">
        <f>+'[9]Statistical Data'!K9</f>
        <v>0</v>
      </c>
      <c r="L33" s="78">
        <f>+'[9]Statistical Data'!L9</f>
        <v>0</v>
      </c>
      <c r="M33" s="87">
        <f>+'[9]Statistical Data'!M9</f>
        <v>3</v>
      </c>
      <c r="N33" s="78">
        <f>+'[9]Statistical Data'!N9</f>
        <v>2044050</v>
      </c>
      <c r="O33" s="71">
        <f t="shared" si="7"/>
        <v>21</v>
      </c>
      <c r="P33" s="50">
        <f t="shared" si="7"/>
        <v>5766600</v>
      </c>
    </row>
    <row r="34" spans="2:16" s="15" customFormat="1" ht="12" x14ac:dyDescent="0.2">
      <c r="B34" s="64" t="s">
        <v>16</v>
      </c>
      <c r="C34" s="71">
        <f>+'[9]Statistical Data'!C10</f>
        <v>6</v>
      </c>
      <c r="D34" s="78">
        <f>+'[9]Statistical Data'!D10</f>
        <v>1242450</v>
      </c>
      <c r="E34" s="71">
        <f>+'[9]Statistical Data'!E10</f>
        <v>4</v>
      </c>
      <c r="F34" s="50">
        <f>+'[9]Statistical Data'!F10</f>
        <v>1705950</v>
      </c>
      <c r="G34" s="87">
        <f>+'[9]Statistical Data'!G10</f>
        <v>1</v>
      </c>
      <c r="H34" s="78">
        <f>+'[9]Statistical Data'!H10</f>
        <v>802050</v>
      </c>
      <c r="I34" s="71">
        <f>+'[9]Statistical Data'!I10</f>
        <v>1</v>
      </c>
      <c r="J34" s="50">
        <f>+'[9]Statistical Data'!J10</f>
        <v>875700</v>
      </c>
      <c r="K34" s="87">
        <f>+'[9]Statistical Data'!K10</f>
        <v>0</v>
      </c>
      <c r="L34" s="78">
        <f>+'[9]Statistical Data'!L10</f>
        <v>0</v>
      </c>
      <c r="M34" s="87">
        <f>+'[9]Statistical Data'!M10</f>
        <v>1</v>
      </c>
      <c r="N34" s="78">
        <f>+'[9]Statistical Data'!N10</f>
        <v>183600</v>
      </c>
      <c r="O34" s="71">
        <f t="shared" si="7"/>
        <v>13</v>
      </c>
      <c r="P34" s="50">
        <f t="shared" si="7"/>
        <v>4809750</v>
      </c>
    </row>
    <row r="35" spans="2:16" ht="12" x14ac:dyDescent="0.2">
      <c r="B35" s="51" t="s">
        <v>17</v>
      </c>
      <c r="C35" s="72">
        <f>SUM(C32:C34)</f>
        <v>35</v>
      </c>
      <c r="D35" s="79">
        <f t="shared" ref="D35:J35" si="8">SUM(D32:D34)</f>
        <v>4443300</v>
      </c>
      <c r="E35" s="72">
        <f t="shared" si="8"/>
        <v>20</v>
      </c>
      <c r="F35" s="52">
        <f t="shared" si="8"/>
        <v>4764450</v>
      </c>
      <c r="G35" s="88">
        <f t="shared" si="8"/>
        <v>3</v>
      </c>
      <c r="H35" s="79">
        <f t="shared" si="8"/>
        <v>1523850</v>
      </c>
      <c r="I35" s="72">
        <f t="shared" si="8"/>
        <v>2</v>
      </c>
      <c r="J35" s="52">
        <f t="shared" si="8"/>
        <v>1212750</v>
      </c>
      <c r="K35" s="88">
        <f>SUM(K32:K34)</f>
        <v>0</v>
      </c>
      <c r="L35" s="79">
        <f>SUM(L32:L34)</f>
        <v>0</v>
      </c>
      <c r="M35" s="88">
        <f>SUM(M32:M34)</f>
        <v>5</v>
      </c>
      <c r="N35" s="79">
        <f>SUM(N32:N34)</f>
        <v>7100550</v>
      </c>
      <c r="O35" s="72">
        <f t="shared" ref="O35:O48" si="9">+C35+E35+G35+I35+M35+K35</f>
        <v>65</v>
      </c>
      <c r="P35" s="52">
        <f>SUM(P32:P34)</f>
        <v>19044900</v>
      </c>
    </row>
    <row r="36" spans="2:16" s="15" customFormat="1" ht="12" x14ac:dyDescent="0.2">
      <c r="B36" s="64" t="s">
        <v>18</v>
      </c>
      <c r="C36" s="71">
        <f>+'[9]Statistical Data'!C12</f>
        <v>4</v>
      </c>
      <c r="D36" s="78">
        <f>+'[9]Statistical Data'!D12</f>
        <v>1654650</v>
      </c>
      <c r="E36" s="71">
        <f>+'[9]Statistical Data'!E12</f>
        <v>6</v>
      </c>
      <c r="F36" s="50">
        <f>+'[9]Statistical Data'!F12</f>
        <v>2133300</v>
      </c>
      <c r="G36" s="87">
        <f>+'[9]Statistical Data'!G12</f>
        <v>0</v>
      </c>
      <c r="H36" s="78">
        <f>+'[9]Statistical Data'!H12</f>
        <v>0</v>
      </c>
      <c r="I36" s="71">
        <f>+'[9]Statistical Data'!I12</f>
        <v>2</v>
      </c>
      <c r="J36" s="50">
        <f>+'[9]Statistical Data'!J12</f>
        <v>875700</v>
      </c>
      <c r="K36" s="87">
        <f>+'[9]Statistical Data'!K12</f>
        <v>0</v>
      </c>
      <c r="L36" s="78">
        <f>+'[9]Statistical Data'!L12</f>
        <v>0</v>
      </c>
      <c r="M36" s="87">
        <f>+'[9]Statistical Data'!M12</f>
        <v>2</v>
      </c>
      <c r="N36" s="78">
        <f>+'[9]Statistical Data'!N12</f>
        <v>183600</v>
      </c>
      <c r="O36" s="71">
        <f t="shared" si="9"/>
        <v>14</v>
      </c>
      <c r="P36" s="50">
        <f>+D36+F36+H36+J36+N36+L36</f>
        <v>4847250</v>
      </c>
    </row>
    <row r="37" spans="2:16" s="15" customFormat="1" ht="12" x14ac:dyDescent="0.2">
      <c r="B37" s="64" t="s">
        <v>19</v>
      </c>
      <c r="C37" s="71">
        <f>+'[9]Statistical Data'!C13</f>
        <v>12</v>
      </c>
      <c r="D37" s="78">
        <f>+'[9]Statistical Data'!D13</f>
        <v>1619700</v>
      </c>
      <c r="E37" s="71">
        <f>+'[9]Statistical Data'!E13</f>
        <v>8</v>
      </c>
      <c r="F37" s="50">
        <f>+'[9]Statistical Data'!F13</f>
        <v>1315050</v>
      </c>
      <c r="G37" s="87">
        <f>+'[9]Statistical Data'!G13</f>
        <v>0</v>
      </c>
      <c r="H37" s="78">
        <f>+'[9]Statistical Data'!H13</f>
        <v>0</v>
      </c>
      <c r="I37" s="71">
        <f>+'[9]Statistical Data'!I13</f>
        <v>1</v>
      </c>
      <c r="J37" s="50">
        <f>+'[9]Statistical Data'!J13</f>
        <v>806400</v>
      </c>
      <c r="K37" s="87">
        <f>+'[9]Statistical Data'!K13</f>
        <v>0</v>
      </c>
      <c r="L37" s="78">
        <f>+'[9]Statistical Data'!L13</f>
        <v>0</v>
      </c>
      <c r="M37" s="87">
        <f>+'[9]Statistical Data'!M13</f>
        <v>2</v>
      </c>
      <c r="N37" s="78">
        <f>+'[9]Statistical Data'!N13</f>
        <v>1917000</v>
      </c>
      <c r="O37" s="71">
        <f t="shared" si="9"/>
        <v>23</v>
      </c>
      <c r="P37" s="50">
        <f>+D37+F37+H37+J37+N37+L37</f>
        <v>5658150</v>
      </c>
    </row>
    <row r="38" spans="2:16" s="15" customFormat="1" ht="12" x14ac:dyDescent="0.2">
      <c r="B38" s="64" t="s">
        <v>20</v>
      </c>
      <c r="C38" s="71">
        <f>+'[9]Statistical Data'!C14</f>
        <v>10</v>
      </c>
      <c r="D38" s="78">
        <f>+'[9]Statistical Data'!D14</f>
        <v>1686999</v>
      </c>
      <c r="E38" s="71">
        <f>+'[9]Statistical Data'!E14</f>
        <v>3</v>
      </c>
      <c r="F38" s="50">
        <f>+'[9]Statistical Data'!F14</f>
        <v>765900</v>
      </c>
      <c r="G38" s="87">
        <f>+'[9]Statistical Data'!G14</f>
        <v>0</v>
      </c>
      <c r="H38" s="78">
        <f>+'[9]Statistical Data'!H14</f>
        <v>0</v>
      </c>
      <c r="I38" s="71">
        <f>+'[9]Statistical Data'!I14</f>
        <v>0</v>
      </c>
      <c r="J38" s="50">
        <f>+'[9]Statistical Data'!J14</f>
        <v>0</v>
      </c>
      <c r="K38" s="87">
        <f>+'[9]Statistical Data'!K14</f>
        <v>0</v>
      </c>
      <c r="L38" s="78">
        <f>+'[9]Statistical Data'!L14</f>
        <v>0</v>
      </c>
      <c r="M38" s="87">
        <f>+'[9]Statistical Data'!M14</f>
        <v>2</v>
      </c>
      <c r="N38" s="78">
        <f>+'[9]Statistical Data'!N14</f>
        <v>7395000</v>
      </c>
      <c r="O38" s="71">
        <f t="shared" si="9"/>
        <v>15</v>
      </c>
      <c r="P38" s="50">
        <f>+D38+F38+H38+J38+N38+L38</f>
        <v>9847899</v>
      </c>
    </row>
    <row r="39" spans="2:16" ht="12" x14ac:dyDescent="0.2">
      <c r="B39" s="51" t="s">
        <v>21</v>
      </c>
      <c r="C39" s="72">
        <f>SUM(C36:C38)</f>
        <v>26</v>
      </c>
      <c r="D39" s="79">
        <f t="shared" ref="D39:J39" si="10">SUM(D36:D38)</f>
        <v>4961349</v>
      </c>
      <c r="E39" s="72">
        <f t="shared" si="10"/>
        <v>17</v>
      </c>
      <c r="F39" s="52">
        <f t="shared" si="10"/>
        <v>4214250</v>
      </c>
      <c r="G39" s="88">
        <f t="shared" si="10"/>
        <v>0</v>
      </c>
      <c r="H39" s="79">
        <f t="shared" si="10"/>
        <v>0</v>
      </c>
      <c r="I39" s="72">
        <f t="shared" si="10"/>
        <v>3</v>
      </c>
      <c r="J39" s="52">
        <f t="shared" si="10"/>
        <v>1682100</v>
      </c>
      <c r="K39" s="88">
        <f>SUM(K36:K38)</f>
        <v>0</v>
      </c>
      <c r="L39" s="79">
        <f>SUM(L36:L38)</f>
        <v>0</v>
      </c>
      <c r="M39" s="88">
        <f>SUM(M36:M38)</f>
        <v>6</v>
      </c>
      <c r="N39" s="79">
        <f>SUM(N36:N38)</f>
        <v>9495600</v>
      </c>
      <c r="O39" s="72">
        <f t="shared" si="9"/>
        <v>52</v>
      </c>
      <c r="P39" s="52">
        <f>SUM(P36:P38)</f>
        <v>20353299</v>
      </c>
    </row>
    <row r="40" spans="2:16" s="15" customFormat="1" ht="12" x14ac:dyDescent="0.2">
      <c r="B40" s="64" t="s">
        <v>22</v>
      </c>
      <c r="C40" s="71">
        <f>+'[9]Statistical Data'!C16</f>
        <v>8</v>
      </c>
      <c r="D40" s="78">
        <f>+'[9]Statistical Data'!D16</f>
        <v>1042500</v>
      </c>
      <c r="E40" s="71">
        <f>+'[9]Statistical Data'!E16</f>
        <v>3</v>
      </c>
      <c r="F40" s="50">
        <f>+'[9]Statistical Data'!F16</f>
        <v>2400000</v>
      </c>
      <c r="G40" s="87">
        <f>+'[9]Statistical Data'!G16</f>
        <v>0</v>
      </c>
      <c r="H40" s="78">
        <f>+'[9]Statistical Data'!H16</f>
        <v>0</v>
      </c>
      <c r="I40" s="71">
        <f>+'[9]Statistical Data'!I16</f>
        <v>0</v>
      </c>
      <c r="J40" s="50">
        <f>+'[9]Statistical Data'!J16</f>
        <v>0</v>
      </c>
      <c r="K40" s="87">
        <f>+'[9]Statistical Data'!K16</f>
        <v>0</v>
      </c>
      <c r="L40" s="78">
        <f>+'[9]Statistical Data'!L16</f>
        <v>0</v>
      </c>
      <c r="M40" s="87">
        <f>+'[9]Statistical Data'!M16</f>
        <v>1</v>
      </c>
      <c r="N40" s="78">
        <f>+'[9]Statistical Data'!N16</f>
        <v>24000</v>
      </c>
      <c r="O40" s="71">
        <f t="shared" si="9"/>
        <v>12</v>
      </c>
      <c r="P40" s="50">
        <f>+D40+F40+H40+J40+N40+L40</f>
        <v>3466500</v>
      </c>
    </row>
    <row r="41" spans="2:16" s="15" customFormat="1" ht="12" x14ac:dyDescent="0.2">
      <c r="B41" s="64" t="s">
        <v>23</v>
      </c>
      <c r="C41" s="71">
        <f>+'[9]Statistical Data'!C17</f>
        <v>12</v>
      </c>
      <c r="D41" s="78">
        <f>+'[9]Statistical Data'!D17</f>
        <v>1292850</v>
      </c>
      <c r="E41" s="71">
        <f>+'[9]Statistical Data'!E17</f>
        <v>2</v>
      </c>
      <c r="F41" s="50">
        <f>+'[9]Statistical Data'!F17</f>
        <v>932550</v>
      </c>
      <c r="G41" s="87">
        <f>+'[9]Statistical Data'!G17</f>
        <v>0</v>
      </c>
      <c r="H41" s="78">
        <f>+'[9]Statistical Data'!H17</f>
        <v>0</v>
      </c>
      <c r="I41" s="71">
        <f>+'[9]Statistical Data'!I17</f>
        <v>0</v>
      </c>
      <c r="J41" s="50">
        <f>+'[9]Statistical Data'!J17</f>
        <v>0</v>
      </c>
      <c r="K41" s="87">
        <f>+'[9]Statistical Data'!K17</f>
        <v>0</v>
      </c>
      <c r="L41" s="78">
        <f>+'[9]Statistical Data'!L17</f>
        <v>0</v>
      </c>
      <c r="M41" s="87">
        <f>+'[9]Statistical Data'!M17</f>
        <v>0</v>
      </c>
      <c r="N41" s="78">
        <f>+'[9]Statistical Data'!N17</f>
        <v>0</v>
      </c>
      <c r="O41" s="71">
        <f t="shared" si="9"/>
        <v>14</v>
      </c>
      <c r="P41" s="50">
        <f>+D41+F41+H41+J41+N41+L41</f>
        <v>2225400</v>
      </c>
    </row>
    <row r="42" spans="2:16" s="15" customFormat="1" ht="12" x14ac:dyDescent="0.2">
      <c r="B42" s="64" t="s">
        <v>36</v>
      </c>
      <c r="C42" s="71">
        <f>+'[9]Statistical Data'!C18</f>
        <v>8</v>
      </c>
      <c r="D42" s="78">
        <f>+'[9]Statistical Data'!D18</f>
        <v>1118700</v>
      </c>
      <c r="E42" s="71">
        <f>+'[9]Statistical Data'!E18</f>
        <v>4</v>
      </c>
      <c r="F42" s="50">
        <f>+'[9]Statistical Data'!F18</f>
        <v>1696350</v>
      </c>
      <c r="G42" s="87">
        <f>+'[9]Statistical Data'!G18</f>
        <v>0</v>
      </c>
      <c r="H42" s="78">
        <f>+'[9]Statistical Data'!H18</f>
        <v>0</v>
      </c>
      <c r="I42" s="71">
        <f>+'[9]Statistical Data'!I18</f>
        <v>0</v>
      </c>
      <c r="J42" s="50">
        <f>+'[9]Statistical Data'!J18</f>
        <v>0</v>
      </c>
      <c r="K42" s="87">
        <f>+'[9]Statistical Data'!K18</f>
        <v>0</v>
      </c>
      <c r="L42" s="78">
        <f>+'[9]Statistical Data'!L18</f>
        <v>0</v>
      </c>
      <c r="M42" s="87">
        <f>+'[9]Statistical Data'!M18</f>
        <v>0</v>
      </c>
      <c r="N42" s="78">
        <f>+'[9]Statistical Data'!N18</f>
        <v>0</v>
      </c>
      <c r="O42" s="71">
        <f t="shared" si="9"/>
        <v>12</v>
      </c>
      <c r="P42" s="50">
        <f>+D42+F42+H42+J42+N42+L42</f>
        <v>2815050</v>
      </c>
    </row>
    <row r="43" spans="2:16" ht="12" x14ac:dyDescent="0.2">
      <c r="B43" s="51" t="s">
        <v>24</v>
      </c>
      <c r="C43" s="72">
        <f>SUM(C40:C42)</f>
        <v>28</v>
      </c>
      <c r="D43" s="79">
        <f t="shared" ref="D43:J43" si="11">SUM(D40:D42)</f>
        <v>3454050</v>
      </c>
      <c r="E43" s="72">
        <f t="shared" si="11"/>
        <v>9</v>
      </c>
      <c r="F43" s="52">
        <f t="shared" si="11"/>
        <v>5028900</v>
      </c>
      <c r="G43" s="88">
        <f t="shared" si="11"/>
        <v>0</v>
      </c>
      <c r="H43" s="79">
        <f t="shared" si="11"/>
        <v>0</v>
      </c>
      <c r="I43" s="72">
        <f t="shared" si="11"/>
        <v>0</v>
      </c>
      <c r="J43" s="52">
        <f t="shared" si="11"/>
        <v>0</v>
      </c>
      <c r="K43" s="88">
        <f>SUM(K40:K42)</f>
        <v>0</v>
      </c>
      <c r="L43" s="79">
        <f>SUM(L40:L42)</f>
        <v>0</v>
      </c>
      <c r="M43" s="88">
        <f>SUM(M40:M42)</f>
        <v>1</v>
      </c>
      <c r="N43" s="79">
        <f>SUM(N40:N42)</f>
        <v>24000</v>
      </c>
      <c r="O43" s="72">
        <f t="shared" si="9"/>
        <v>38</v>
      </c>
      <c r="P43" s="52">
        <f>SUM(P40:P42)</f>
        <v>8506950</v>
      </c>
    </row>
    <row r="44" spans="2:16" s="15" customFormat="1" ht="12" x14ac:dyDescent="0.2">
      <c r="B44" s="64" t="s">
        <v>25</v>
      </c>
      <c r="C44" s="71">
        <f>+'[9]Statistical Data'!C20</f>
        <v>3</v>
      </c>
      <c r="D44" s="78">
        <f>+'[9]Statistical Data'!D20</f>
        <v>1248150</v>
      </c>
      <c r="E44" s="71">
        <f>+'[9]Statistical Data'!E20</f>
        <v>1</v>
      </c>
      <c r="F44" s="50">
        <f>+'[9]Statistical Data'!F20</f>
        <v>499200</v>
      </c>
      <c r="G44" s="87">
        <f>+'[9]Statistical Data'!G20</f>
        <v>0</v>
      </c>
      <c r="H44" s="78">
        <f>+'[9]Statistical Data'!H20</f>
        <v>0</v>
      </c>
      <c r="I44" s="71">
        <f>+'[9]Statistical Data'!I20</f>
        <v>1</v>
      </c>
      <c r="J44" s="50">
        <f>+'[9]Statistical Data'!J20</f>
        <v>229500</v>
      </c>
      <c r="K44" s="87">
        <f>+'[9]Statistical Data'!K20</f>
        <v>1</v>
      </c>
      <c r="L44" s="78">
        <f>+'[9]Statistical Data'!L20</f>
        <v>2575200</v>
      </c>
      <c r="M44" s="87">
        <f>+'[9]Statistical Data'!M20</f>
        <v>0</v>
      </c>
      <c r="N44" s="78">
        <f>+'[9]Statistical Data'!N20</f>
        <v>0</v>
      </c>
      <c r="O44" s="71">
        <f t="shared" si="9"/>
        <v>6</v>
      </c>
      <c r="P44" s="50">
        <f>+D44+F44+H44+J44+N44+L44</f>
        <v>4552050</v>
      </c>
    </row>
    <row r="45" spans="2:16" s="15" customFormat="1" ht="12" x14ac:dyDescent="0.2">
      <c r="B45" s="64" t="s">
        <v>26</v>
      </c>
      <c r="C45" s="71">
        <f>+'[9]Statistical Data'!C21</f>
        <v>5</v>
      </c>
      <c r="D45" s="78">
        <f>+'[9]Statistical Data'!D21</f>
        <v>1557600</v>
      </c>
      <c r="E45" s="71">
        <f>+'[9]Statistical Data'!E21</f>
        <v>6</v>
      </c>
      <c r="F45" s="50">
        <f>+'[9]Statistical Data'!F21</f>
        <v>1183500</v>
      </c>
      <c r="G45" s="87">
        <f>+'[9]Statistical Data'!G21</f>
        <v>0</v>
      </c>
      <c r="H45" s="78">
        <f>+'[9]Statistical Data'!H21</f>
        <v>0</v>
      </c>
      <c r="I45" s="71">
        <f>+'[9]Statistical Data'!I21</f>
        <v>2</v>
      </c>
      <c r="J45" s="50">
        <f>+'[9]Statistical Data'!J21</f>
        <v>5382000</v>
      </c>
      <c r="K45" s="87">
        <f>+'[9]Statistical Data'!K21</f>
        <v>0</v>
      </c>
      <c r="L45" s="78">
        <f>+'[9]Statistical Data'!L21</f>
        <v>0</v>
      </c>
      <c r="M45" s="87">
        <f>+'[9]Statistical Data'!M21</f>
        <v>2</v>
      </c>
      <c r="N45" s="78">
        <f>+'[9]Statistical Data'!N21</f>
        <v>1731600</v>
      </c>
      <c r="O45" s="71">
        <f t="shared" si="9"/>
        <v>15</v>
      </c>
      <c r="P45" s="50">
        <f>+D45+F45+H45+J45+N45+L45</f>
        <v>9854700</v>
      </c>
    </row>
    <row r="46" spans="2:16" s="15" customFormat="1" ht="12" x14ac:dyDescent="0.2">
      <c r="B46" s="64" t="s">
        <v>27</v>
      </c>
      <c r="C46" s="71">
        <f>+'[9]Statistical Data'!C22</f>
        <v>11</v>
      </c>
      <c r="D46" s="78">
        <f>+'[9]Statistical Data'!D22</f>
        <v>1263600</v>
      </c>
      <c r="E46" s="71">
        <f>+'[9]Statistical Data'!E22</f>
        <v>1</v>
      </c>
      <c r="F46" s="50">
        <f>+'[9]Statistical Data'!F22</f>
        <v>337050</v>
      </c>
      <c r="G46" s="87">
        <f>+'[9]Statistical Data'!G22</f>
        <v>1</v>
      </c>
      <c r="H46" s="78">
        <f>+'[9]Statistical Data'!H22</f>
        <v>2330850</v>
      </c>
      <c r="I46" s="71">
        <f>+'[9]Statistical Data'!I22</f>
        <v>2</v>
      </c>
      <c r="J46" s="50">
        <f>+'[9]Statistical Data'!J22</f>
        <v>1334250</v>
      </c>
      <c r="K46" s="87">
        <f>+'[9]Statistical Data'!K22</f>
        <v>0</v>
      </c>
      <c r="L46" s="78">
        <f>+'[9]Statistical Data'!L22</f>
        <v>0</v>
      </c>
      <c r="M46" s="87">
        <f>+'[9]Statistical Data'!M22</f>
        <v>0</v>
      </c>
      <c r="N46" s="78">
        <f>+'[9]Statistical Data'!N22</f>
        <v>0</v>
      </c>
      <c r="O46" s="71">
        <f t="shared" si="9"/>
        <v>15</v>
      </c>
      <c r="P46" s="50">
        <f>+D46+F46+H46+J46+N46+L46</f>
        <v>5265750</v>
      </c>
    </row>
    <row r="47" spans="2:16" ht="12" x14ac:dyDescent="0.2">
      <c r="B47" s="51" t="s">
        <v>28</v>
      </c>
      <c r="C47" s="72">
        <f>SUM(C44:C46)</f>
        <v>19</v>
      </c>
      <c r="D47" s="79">
        <f t="shared" ref="D47:J47" si="12">SUM(D44:D46)</f>
        <v>4069350</v>
      </c>
      <c r="E47" s="72">
        <f t="shared" si="12"/>
        <v>8</v>
      </c>
      <c r="F47" s="52">
        <f t="shared" si="12"/>
        <v>2019750</v>
      </c>
      <c r="G47" s="88">
        <f t="shared" si="12"/>
        <v>1</v>
      </c>
      <c r="H47" s="79">
        <f t="shared" si="12"/>
        <v>2330850</v>
      </c>
      <c r="I47" s="72">
        <f t="shared" si="12"/>
        <v>5</v>
      </c>
      <c r="J47" s="52">
        <f t="shared" si="12"/>
        <v>6945750</v>
      </c>
      <c r="K47" s="88">
        <f>SUM(K44:K46)</f>
        <v>1</v>
      </c>
      <c r="L47" s="79">
        <f>SUM(L44:L46)</f>
        <v>2575200</v>
      </c>
      <c r="M47" s="88">
        <f>SUM(M44:M46)</f>
        <v>2</v>
      </c>
      <c r="N47" s="79">
        <f>SUM(N44:N46)</f>
        <v>1731600</v>
      </c>
      <c r="O47" s="72">
        <f t="shared" si="9"/>
        <v>36</v>
      </c>
      <c r="P47" s="52">
        <f>SUM(P44:P46)</f>
        <v>19672500</v>
      </c>
    </row>
    <row r="48" spans="2:16" s="15" customFormat="1" ht="12" x14ac:dyDescent="0.2">
      <c r="B48" s="45" t="s">
        <v>35</v>
      </c>
      <c r="C48" s="73">
        <f t="shared" ref="C48:J48" si="13">+C35+C39+C43+C47</f>
        <v>108</v>
      </c>
      <c r="D48" s="80">
        <f t="shared" si="13"/>
        <v>16928049</v>
      </c>
      <c r="E48" s="73">
        <f t="shared" si="13"/>
        <v>54</v>
      </c>
      <c r="F48" s="53">
        <f t="shared" si="13"/>
        <v>16027350</v>
      </c>
      <c r="G48" s="89">
        <f t="shared" si="13"/>
        <v>4</v>
      </c>
      <c r="H48" s="80">
        <f t="shared" si="13"/>
        <v>3854700</v>
      </c>
      <c r="I48" s="73">
        <f t="shared" si="13"/>
        <v>10</v>
      </c>
      <c r="J48" s="53">
        <f t="shared" si="13"/>
        <v>9840600</v>
      </c>
      <c r="K48" s="89">
        <f>+K35+K39+K43+K47</f>
        <v>1</v>
      </c>
      <c r="L48" s="80">
        <f>+L35+L39+L43+L47</f>
        <v>2575200</v>
      </c>
      <c r="M48" s="89">
        <f>+M35+M39+M43+M47</f>
        <v>14</v>
      </c>
      <c r="N48" s="80">
        <f>+N35+N39+N43+N47</f>
        <v>18351750</v>
      </c>
      <c r="O48" s="73">
        <f t="shared" si="9"/>
        <v>191</v>
      </c>
      <c r="P48" s="53">
        <f>P35+P39+P43+P47</f>
        <v>67577649</v>
      </c>
    </row>
    <row r="49" spans="2:16" s="15" customFormat="1" ht="5.25" customHeight="1" x14ac:dyDescent="0.2">
      <c r="B49" s="54"/>
      <c r="C49" s="54"/>
      <c r="D49" s="54"/>
      <c r="E49" s="54"/>
      <c r="F49" s="54"/>
      <c r="G49" s="68"/>
      <c r="H49" s="54"/>
      <c r="I49" s="68"/>
      <c r="J49" s="54"/>
      <c r="K49" s="68"/>
      <c r="L49" s="54"/>
      <c r="M49" s="68"/>
      <c r="N49" s="54"/>
      <c r="O49" s="68"/>
      <c r="P49" s="54"/>
    </row>
    <row r="50" spans="2:16" s="15" customFormat="1" ht="12" x14ac:dyDescent="0.2">
      <c r="B50" s="57" t="s">
        <v>60</v>
      </c>
      <c r="C50" s="70"/>
      <c r="D50" s="82"/>
      <c r="E50" s="70"/>
      <c r="F50" s="74"/>
      <c r="G50" s="91"/>
      <c r="H50" s="82"/>
      <c r="I50" s="70"/>
      <c r="J50" s="74"/>
      <c r="K50" s="91"/>
      <c r="L50" s="82"/>
      <c r="M50" s="91"/>
      <c r="N50" s="82"/>
      <c r="O50" s="70"/>
      <c r="P50" s="74"/>
    </row>
    <row r="51" spans="2:16" s="15" customFormat="1" ht="12" x14ac:dyDescent="0.2">
      <c r="B51" s="64" t="s">
        <v>14</v>
      </c>
      <c r="C51" s="50">
        <f>+IF(C13=0,0,((C32-C13)/C13*100))</f>
        <v>28.571428571428569</v>
      </c>
      <c r="D51" s="78">
        <f t="shared" ref="D51:P51" si="14">+IF(D13=0,0,((D32-D13)/D13*100))</f>
        <v>0.21420401372569406</v>
      </c>
      <c r="E51" s="50">
        <f t="shared" si="14"/>
        <v>300</v>
      </c>
      <c r="F51" s="50">
        <f t="shared" si="14"/>
        <v>4.593647014861876</v>
      </c>
      <c r="G51" s="92">
        <f t="shared" si="14"/>
        <v>0</v>
      </c>
      <c r="H51" s="78">
        <f t="shared" si="14"/>
        <v>0</v>
      </c>
      <c r="I51" s="50">
        <f t="shared" si="14"/>
        <v>0</v>
      </c>
      <c r="J51" s="50">
        <f t="shared" si="14"/>
        <v>0</v>
      </c>
      <c r="K51" s="92">
        <f t="shared" ref="K51:N67" si="15">+IF(K13=0,0,((K32-K13)/K13*100))</f>
        <v>0</v>
      </c>
      <c r="L51" s="78">
        <f t="shared" si="15"/>
        <v>0</v>
      </c>
      <c r="M51" s="92">
        <f t="shared" si="15"/>
        <v>0</v>
      </c>
      <c r="N51" s="78">
        <f t="shared" si="15"/>
        <v>0</v>
      </c>
      <c r="O51" s="50">
        <f t="shared" si="14"/>
        <v>82.35294117647058</v>
      </c>
      <c r="P51" s="50">
        <f t="shared" si="14"/>
        <v>141.04713776537514</v>
      </c>
    </row>
    <row r="52" spans="2:16" s="15" customFormat="1" ht="12" x14ac:dyDescent="0.2">
      <c r="B52" s="64" t="s">
        <v>15</v>
      </c>
      <c r="C52" s="50">
        <f t="shared" ref="C52:P67" si="16">+IF(C14=0,0,((C33-C14)/C14*100))</f>
        <v>-21.428571428571427</v>
      </c>
      <c r="D52" s="78">
        <f t="shared" si="16"/>
        <v>14.761812426436716</v>
      </c>
      <c r="E52" s="50">
        <f t="shared" si="16"/>
        <v>300</v>
      </c>
      <c r="F52" s="50">
        <f t="shared" si="16"/>
        <v>313.78299120234601</v>
      </c>
      <c r="G52" s="92">
        <f t="shared" si="16"/>
        <v>0</v>
      </c>
      <c r="H52" s="78">
        <f t="shared" si="16"/>
        <v>0</v>
      </c>
      <c r="I52" s="50">
        <f t="shared" si="16"/>
        <v>0</v>
      </c>
      <c r="J52" s="50">
        <f t="shared" si="16"/>
        <v>94.751165733502049</v>
      </c>
      <c r="K52" s="92">
        <f t="shared" si="15"/>
        <v>0</v>
      </c>
      <c r="L52" s="78">
        <f t="shared" si="15"/>
        <v>0</v>
      </c>
      <c r="M52" s="92">
        <f t="shared" si="15"/>
        <v>0</v>
      </c>
      <c r="N52" s="78">
        <f t="shared" si="15"/>
        <v>0</v>
      </c>
      <c r="O52" s="50">
        <f t="shared" si="16"/>
        <v>31.25</v>
      </c>
      <c r="P52" s="50">
        <f t="shared" si="16"/>
        <v>240.31629125706519</v>
      </c>
    </row>
    <row r="53" spans="2:16" s="15" customFormat="1" ht="12" x14ac:dyDescent="0.2">
      <c r="B53" s="64" t="s">
        <v>16</v>
      </c>
      <c r="C53" s="50">
        <f t="shared" si="16"/>
        <v>-45.454545454545453</v>
      </c>
      <c r="D53" s="78">
        <f t="shared" si="16"/>
        <v>56.283018867924525</v>
      </c>
      <c r="E53" s="50">
        <f t="shared" si="16"/>
        <v>-42.857142857142854</v>
      </c>
      <c r="F53" s="50">
        <f t="shared" si="16"/>
        <v>114.58490566037736</v>
      </c>
      <c r="G53" s="92">
        <f t="shared" si="16"/>
        <v>0</v>
      </c>
      <c r="H53" s="78">
        <f t="shared" si="16"/>
        <v>-20.761707172495555</v>
      </c>
      <c r="I53" s="50">
        <f t="shared" si="16"/>
        <v>0</v>
      </c>
      <c r="J53" s="50">
        <f t="shared" si="16"/>
        <v>0</v>
      </c>
      <c r="K53" s="92">
        <f t="shared" si="15"/>
        <v>0</v>
      </c>
      <c r="L53" s="78">
        <f t="shared" si="15"/>
        <v>0</v>
      </c>
      <c r="M53" s="92">
        <f t="shared" si="15"/>
        <v>0</v>
      </c>
      <c r="N53" s="78">
        <f t="shared" si="15"/>
        <v>-56.285714285714285</v>
      </c>
      <c r="O53" s="50">
        <f t="shared" si="16"/>
        <v>-31.578947368421051</v>
      </c>
      <c r="P53" s="50">
        <f t="shared" si="16"/>
        <v>59.147309906690495</v>
      </c>
    </row>
    <row r="54" spans="2:16" s="15" customFormat="1" ht="12" x14ac:dyDescent="0.2">
      <c r="B54" s="51" t="s">
        <v>17</v>
      </c>
      <c r="C54" s="67">
        <f t="shared" si="16"/>
        <v>-10.256410256410255</v>
      </c>
      <c r="D54" s="83">
        <f t="shared" si="16"/>
        <v>16.539368526738119</v>
      </c>
      <c r="E54" s="67">
        <f t="shared" si="16"/>
        <v>81.818181818181827</v>
      </c>
      <c r="F54" s="67">
        <f t="shared" si="16"/>
        <v>69.436011673764071</v>
      </c>
      <c r="G54" s="93">
        <f t="shared" si="16"/>
        <v>0</v>
      </c>
      <c r="H54" s="83">
        <f t="shared" si="16"/>
        <v>50.548310610551269</v>
      </c>
      <c r="I54" s="67">
        <f t="shared" si="16"/>
        <v>100</v>
      </c>
      <c r="J54" s="67">
        <f t="shared" si="16"/>
        <v>600.74017577007749</v>
      </c>
      <c r="K54" s="93">
        <f t="shared" si="15"/>
        <v>0</v>
      </c>
      <c r="L54" s="83">
        <f t="shared" si="15"/>
        <v>0</v>
      </c>
      <c r="M54" s="93">
        <f t="shared" si="15"/>
        <v>400</v>
      </c>
      <c r="N54" s="83">
        <f t="shared" si="15"/>
        <v>1590.6071428571429</v>
      </c>
      <c r="O54" s="67">
        <f t="shared" si="16"/>
        <v>25</v>
      </c>
      <c r="P54" s="67">
        <f t="shared" si="16"/>
        <v>131.41061030206077</v>
      </c>
    </row>
    <row r="55" spans="2:16" s="15" customFormat="1" ht="12" x14ac:dyDescent="0.2">
      <c r="B55" s="64" t="s">
        <v>18</v>
      </c>
      <c r="C55" s="50">
        <f t="shared" si="16"/>
        <v>-66.666666666666657</v>
      </c>
      <c r="D55" s="78">
        <f t="shared" si="16"/>
        <v>6.5222459385638906E-2</v>
      </c>
      <c r="E55" s="50">
        <f t="shared" si="16"/>
        <v>500</v>
      </c>
      <c r="F55" s="50">
        <f t="shared" si="16"/>
        <v>29.01165749409687</v>
      </c>
      <c r="G55" s="92">
        <f t="shared" si="16"/>
        <v>-100</v>
      </c>
      <c r="H55" s="78">
        <f t="shared" si="16"/>
        <v>-100</v>
      </c>
      <c r="I55" s="50">
        <f t="shared" si="16"/>
        <v>100</v>
      </c>
      <c r="J55" s="50">
        <f t="shared" si="16"/>
        <v>-16.024165707710011</v>
      </c>
      <c r="K55" s="92">
        <f t="shared" si="15"/>
        <v>0</v>
      </c>
      <c r="L55" s="78">
        <f t="shared" si="15"/>
        <v>0</v>
      </c>
      <c r="M55" s="92">
        <f t="shared" si="15"/>
        <v>0</v>
      </c>
      <c r="N55" s="78">
        <f t="shared" si="15"/>
        <v>0</v>
      </c>
      <c r="O55" s="50">
        <f t="shared" si="16"/>
        <v>-6.666666666666667</v>
      </c>
      <c r="P55" s="50">
        <f t="shared" si="16"/>
        <v>-4.9485857590832714</v>
      </c>
    </row>
    <row r="56" spans="2:16" s="15" customFormat="1" ht="12" x14ac:dyDescent="0.2">
      <c r="B56" s="64" t="s">
        <v>19</v>
      </c>
      <c r="C56" s="50">
        <f t="shared" si="16"/>
        <v>33.333333333333329</v>
      </c>
      <c r="D56" s="78">
        <f t="shared" si="16"/>
        <v>103.73584905660378</v>
      </c>
      <c r="E56" s="50">
        <f t="shared" si="16"/>
        <v>0</v>
      </c>
      <c r="F56" s="50">
        <f t="shared" si="16"/>
        <v>9.1644876105092763</v>
      </c>
      <c r="G56" s="92">
        <f t="shared" si="16"/>
        <v>-100</v>
      </c>
      <c r="H56" s="78">
        <f t="shared" si="16"/>
        <v>-100</v>
      </c>
      <c r="I56" s="50">
        <f t="shared" si="16"/>
        <v>0</v>
      </c>
      <c r="J56" s="50">
        <f t="shared" si="16"/>
        <v>0</v>
      </c>
      <c r="K56" s="92">
        <f t="shared" si="15"/>
        <v>0</v>
      </c>
      <c r="L56" s="78">
        <f t="shared" si="15"/>
        <v>0</v>
      </c>
      <c r="M56" s="92">
        <f t="shared" si="15"/>
        <v>-33.333333333333329</v>
      </c>
      <c r="N56" s="78">
        <f t="shared" si="15"/>
        <v>356.42857142857144</v>
      </c>
      <c r="O56" s="50">
        <f t="shared" si="16"/>
        <v>0</v>
      </c>
      <c r="P56" s="50">
        <f t="shared" si="16"/>
        <v>64.871716421172252</v>
      </c>
    </row>
    <row r="57" spans="2:16" s="15" customFormat="1" ht="12" x14ac:dyDescent="0.2">
      <c r="B57" s="64" t="s">
        <v>20</v>
      </c>
      <c r="C57" s="50">
        <f t="shared" si="16"/>
        <v>-9.0909090909090917</v>
      </c>
      <c r="D57" s="78">
        <f t="shared" si="16"/>
        <v>-18.696061407402372</v>
      </c>
      <c r="E57" s="50">
        <f t="shared" si="16"/>
        <v>-40</v>
      </c>
      <c r="F57" s="50">
        <f t="shared" si="16"/>
        <v>-20.380477155777328</v>
      </c>
      <c r="G57" s="92">
        <f t="shared" si="16"/>
        <v>-100</v>
      </c>
      <c r="H57" s="78">
        <f t="shared" si="16"/>
        <v>-100</v>
      </c>
      <c r="I57" s="50">
        <f t="shared" si="16"/>
        <v>-100</v>
      </c>
      <c r="J57" s="50">
        <f t="shared" si="16"/>
        <v>-100</v>
      </c>
      <c r="K57" s="92">
        <f t="shared" si="15"/>
        <v>0</v>
      </c>
      <c r="L57" s="78">
        <f t="shared" si="15"/>
        <v>0</v>
      </c>
      <c r="M57" s="92">
        <f t="shared" si="15"/>
        <v>100</v>
      </c>
      <c r="N57" s="78">
        <f t="shared" si="15"/>
        <v>258.46724351050676</v>
      </c>
      <c r="O57" s="50">
        <f t="shared" si="16"/>
        <v>-21.052631578947366</v>
      </c>
      <c r="P57" s="50">
        <f t="shared" si="16"/>
        <v>8.7750487272592306</v>
      </c>
    </row>
    <row r="58" spans="2:16" s="15" customFormat="1" ht="12" x14ac:dyDescent="0.2">
      <c r="B58" s="51" t="s">
        <v>21</v>
      </c>
      <c r="C58" s="67">
        <f t="shared" si="16"/>
        <v>-18.75</v>
      </c>
      <c r="D58" s="83">
        <f t="shared" si="16"/>
        <v>9.6794175218948251</v>
      </c>
      <c r="E58" s="67">
        <f t="shared" si="16"/>
        <v>21.428571428571427</v>
      </c>
      <c r="F58" s="67">
        <f t="shared" si="16"/>
        <v>10.315727971898644</v>
      </c>
      <c r="G58" s="93">
        <f t="shared" si="16"/>
        <v>-100</v>
      </c>
      <c r="H58" s="83">
        <f t="shared" si="16"/>
        <v>-100</v>
      </c>
      <c r="I58" s="67">
        <f t="shared" si="16"/>
        <v>50</v>
      </c>
      <c r="J58" s="67">
        <f t="shared" si="16"/>
        <v>19.942242900689877</v>
      </c>
      <c r="K58" s="93">
        <f t="shared" si="15"/>
        <v>0</v>
      </c>
      <c r="L58" s="83">
        <f t="shared" si="15"/>
        <v>0</v>
      </c>
      <c r="M58" s="93">
        <f t="shared" si="15"/>
        <v>50</v>
      </c>
      <c r="N58" s="83">
        <f t="shared" si="15"/>
        <v>282.43218751887878</v>
      </c>
      <c r="O58" s="67">
        <f t="shared" si="16"/>
        <v>-8.7719298245614024</v>
      </c>
      <c r="P58" s="67">
        <f t="shared" si="16"/>
        <v>15.742964316711841</v>
      </c>
    </row>
    <row r="59" spans="2:16" s="15" customFormat="1" ht="12" x14ac:dyDescent="0.2">
      <c r="B59" s="64" t="s">
        <v>22</v>
      </c>
      <c r="C59" s="50">
        <f t="shared" si="16"/>
        <v>-60</v>
      </c>
      <c r="D59" s="78">
        <f t="shared" si="16"/>
        <v>-46.199102028177734</v>
      </c>
      <c r="E59" s="50">
        <f t="shared" si="16"/>
        <v>-70</v>
      </c>
      <c r="F59" s="50">
        <f t="shared" si="16"/>
        <v>23.858182381173556</v>
      </c>
      <c r="G59" s="92">
        <f t="shared" si="16"/>
        <v>-100</v>
      </c>
      <c r="H59" s="78">
        <f t="shared" si="16"/>
        <v>-100</v>
      </c>
      <c r="I59" s="50">
        <f t="shared" si="16"/>
        <v>-100</v>
      </c>
      <c r="J59" s="50">
        <f t="shared" si="16"/>
        <v>-100</v>
      </c>
      <c r="K59" s="92">
        <f t="shared" si="15"/>
        <v>0</v>
      </c>
      <c r="L59" s="78">
        <f t="shared" si="15"/>
        <v>0</v>
      </c>
      <c r="M59" s="92">
        <f t="shared" si="15"/>
        <v>0</v>
      </c>
      <c r="N59" s="78">
        <f t="shared" si="15"/>
        <v>-94.306049822064054</v>
      </c>
      <c r="O59" s="50">
        <f t="shared" si="16"/>
        <v>-63.636363636363633</v>
      </c>
      <c r="P59" s="50">
        <f t="shared" si="16"/>
        <v>-32.339852441737911</v>
      </c>
    </row>
    <row r="60" spans="2:16" s="15" customFormat="1" ht="12" x14ac:dyDescent="0.2">
      <c r="B60" s="64" t="s">
        <v>23</v>
      </c>
      <c r="C60" s="50">
        <f t="shared" si="16"/>
        <v>9.0909090909090917</v>
      </c>
      <c r="D60" s="78">
        <f t="shared" si="16"/>
        <v>-9.8902247778358596</v>
      </c>
      <c r="E60" s="50">
        <f t="shared" si="16"/>
        <v>-66.666666666666657</v>
      </c>
      <c r="F60" s="50">
        <f t="shared" si="16"/>
        <v>-0.71862024912168632</v>
      </c>
      <c r="G60" s="92">
        <f t="shared" si="16"/>
        <v>0</v>
      </c>
      <c r="H60" s="78">
        <f t="shared" si="16"/>
        <v>0</v>
      </c>
      <c r="I60" s="50">
        <f t="shared" si="16"/>
        <v>0</v>
      </c>
      <c r="J60" s="50">
        <f t="shared" si="16"/>
        <v>0</v>
      </c>
      <c r="K60" s="92">
        <f t="shared" si="15"/>
        <v>0</v>
      </c>
      <c r="L60" s="78">
        <f t="shared" si="15"/>
        <v>0</v>
      </c>
      <c r="M60" s="92">
        <f t="shared" si="15"/>
        <v>0</v>
      </c>
      <c r="N60" s="78">
        <f t="shared" si="15"/>
        <v>0</v>
      </c>
      <c r="O60" s="50">
        <f t="shared" si="16"/>
        <v>-17.647058823529413</v>
      </c>
      <c r="P60" s="50">
        <f t="shared" si="16"/>
        <v>-6.2614519492007332</v>
      </c>
    </row>
    <row r="61" spans="2:16" s="15" customFormat="1" ht="12" x14ac:dyDescent="0.2">
      <c r="B61" s="64" t="s">
        <v>36</v>
      </c>
      <c r="C61" s="50">
        <f t="shared" si="16"/>
        <v>-42.857142857142854</v>
      </c>
      <c r="D61" s="78">
        <f t="shared" si="16"/>
        <v>-34.881690386798219</v>
      </c>
      <c r="E61" s="50">
        <f t="shared" si="16"/>
        <v>-55.555555555555557</v>
      </c>
      <c r="F61" s="50">
        <f t="shared" si="16"/>
        <v>0.94797729139143794</v>
      </c>
      <c r="G61" s="92">
        <f t="shared" si="16"/>
        <v>-100</v>
      </c>
      <c r="H61" s="78">
        <f t="shared" si="16"/>
        <v>-100</v>
      </c>
      <c r="I61" s="50">
        <f t="shared" si="16"/>
        <v>-100</v>
      </c>
      <c r="J61" s="50">
        <f t="shared" si="16"/>
        <v>-100</v>
      </c>
      <c r="K61" s="92">
        <f t="shared" si="15"/>
        <v>0</v>
      </c>
      <c r="L61" s="78">
        <f t="shared" si="15"/>
        <v>0</v>
      </c>
      <c r="M61" s="92">
        <f t="shared" si="15"/>
        <v>-100</v>
      </c>
      <c r="N61" s="78">
        <f t="shared" si="15"/>
        <v>-100</v>
      </c>
      <c r="O61" s="50">
        <f t="shared" si="16"/>
        <v>-55.555555555555557</v>
      </c>
      <c r="P61" s="50">
        <f t="shared" si="16"/>
        <v>-91.665956139135503</v>
      </c>
    </row>
    <row r="62" spans="2:16" s="15" customFormat="1" ht="12" x14ac:dyDescent="0.2">
      <c r="B62" s="51" t="s">
        <v>24</v>
      </c>
      <c r="C62" s="67">
        <f t="shared" si="16"/>
        <v>-37.777777777777779</v>
      </c>
      <c r="D62" s="83">
        <f t="shared" si="16"/>
        <v>-32.145803866100898</v>
      </c>
      <c r="E62" s="67">
        <f t="shared" si="16"/>
        <v>-64</v>
      </c>
      <c r="F62" s="67">
        <f t="shared" si="16"/>
        <v>10.345326961307055</v>
      </c>
      <c r="G62" s="93">
        <f t="shared" si="16"/>
        <v>-100</v>
      </c>
      <c r="H62" s="83">
        <f t="shared" si="16"/>
        <v>-100</v>
      </c>
      <c r="I62" s="67">
        <f t="shared" si="16"/>
        <v>-100</v>
      </c>
      <c r="J62" s="67">
        <f t="shared" si="16"/>
        <v>-100</v>
      </c>
      <c r="K62" s="93">
        <f t="shared" si="15"/>
        <v>0</v>
      </c>
      <c r="L62" s="83">
        <f t="shared" si="15"/>
        <v>0</v>
      </c>
      <c r="M62" s="93">
        <f t="shared" si="15"/>
        <v>-66.666666666666657</v>
      </c>
      <c r="N62" s="83">
        <f t="shared" si="15"/>
        <v>-98.03222235887344</v>
      </c>
      <c r="O62" s="67">
        <f t="shared" si="16"/>
        <v>-50.649350649350644</v>
      </c>
      <c r="P62" s="67">
        <f t="shared" si="16"/>
        <v>-79.389666959578847</v>
      </c>
    </row>
    <row r="63" spans="2:16" s="15" customFormat="1" ht="12" x14ac:dyDescent="0.2">
      <c r="B63" s="64" t="s">
        <v>25</v>
      </c>
      <c r="C63" s="50">
        <f t="shared" si="16"/>
        <v>-75</v>
      </c>
      <c r="D63" s="78">
        <f t="shared" si="16"/>
        <v>10.622174953469822</v>
      </c>
      <c r="E63" s="50">
        <f t="shared" si="16"/>
        <v>-83.333333333333343</v>
      </c>
      <c r="F63" s="50">
        <f t="shared" si="16"/>
        <v>-42.679986221150536</v>
      </c>
      <c r="G63" s="92">
        <f t="shared" si="16"/>
        <v>0</v>
      </c>
      <c r="H63" s="78">
        <f t="shared" si="16"/>
        <v>0</v>
      </c>
      <c r="I63" s="50">
        <f t="shared" si="16"/>
        <v>0</v>
      </c>
      <c r="J63" s="50">
        <f t="shared" si="16"/>
        <v>0</v>
      </c>
      <c r="K63" s="92">
        <f t="shared" si="15"/>
        <v>0</v>
      </c>
      <c r="L63" s="78">
        <f t="shared" si="15"/>
        <v>0</v>
      </c>
      <c r="M63" s="92">
        <f t="shared" si="15"/>
        <v>-100</v>
      </c>
      <c r="N63" s="78">
        <f t="shared" si="15"/>
        <v>-100</v>
      </c>
      <c r="O63" s="50">
        <f t="shared" si="16"/>
        <v>-68.421052631578945</v>
      </c>
      <c r="P63" s="50">
        <f t="shared" si="16"/>
        <v>32.705090082210951</v>
      </c>
    </row>
    <row r="64" spans="2:16" s="15" customFormat="1" ht="12" x14ac:dyDescent="0.2">
      <c r="B64" s="64" t="s">
        <v>26</v>
      </c>
      <c r="C64" s="50">
        <f t="shared" si="16"/>
        <v>-70.588235294117652</v>
      </c>
      <c r="D64" s="78">
        <f t="shared" si="16"/>
        <v>10.53864168618267</v>
      </c>
      <c r="E64" s="50">
        <f t="shared" si="16"/>
        <v>-40</v>
      </c>
      <c r="F64" s="50">
        <f t="shared" si="16"/>
        <v>37.838503587469795</v>
      </c>
      <c r="G64" s="92">
        <f t="shared" si="16"/>
        <v>0</v>
      </c>
      <c r="H64" s="78">
        <f t="shared" si="16"/>
        <v>0</v>
      </c>
      <c r="I64" s="50">
        <f t="shared" si="16"/>
        <v>0</v>
      </c>
      <c r="J64" s="50">
        <f t="shared" si="16"/>
        <v>0</v>
      </c>
      <c r="K64" s="92">
        <f t="shared" si="15"/>
        <v>0</v>
      </c>
      <c r="L64" s="78">
        <f t="shared" si="15"/>
        <v>0</v>
      </c>
      <c r="M64" s="92">
        <f t="shared" si="15"/>
        <v>0</v>
      </c>
      <c r="N64" s="78">
        <f t="shared" si="15"/>
        <v>0</v>
      </c>
      <c r="O64" s="50">
        <f t="shared" si="16"/>
        <v>-44.444444444444443</v>
      </c>
      <c r="P64" s="50">
        <f t="shared" si="16"/>
        <v>334.56547751733189</v>
      </c>
    </row>
    <row r="65" spans="1:16" s="15" customFormat="1" ht="12" x14ac:dyDescent="0.2">
      <c r="B65" s="64" t="s">
        <v>27</v>
      </c>
      <c r="C65" s="50">
        <f t="shared" si="16"/>
        <v>120</v>
      </c>
      <c r="D65" s="78">
        <f t="shared" si="16"/>
        <v>-76.91991561412641</v>
      </c>
      <c r="E65" s="50">
        <f t="shared" si="16"/>
        <v>-50</v>
      </c>
      <c r="F65" s="50">
        <f t="shared" si="16"/>
        <v>-64.983637213651235</v>
      </c>
      <c r="G65" s="92">
        <f t="shared" si="16"/>
        <v>0</v>
      </c>
      <c r="H65" s="78">
        <f t="shared" si="16"/>
        <v>76.579545454545453</v>
      </c>
      <c r="I65" s="50">
        <f t="shared" si="16"/>
        <v>0</v>
      </c>
      <c r="J65" s="50">
        <f t="shared" si="16"/>
        <v>252.41679873217117</v>
      </c>
      <c r="K65" s="92">
        <f t="shared" si="15"/>
        <v>0</v>
      </c>
      <c r="L65" s="78">
        <f t="shared" si="15"/>
        <v>0</v>
      </c>
      <c r="M65" s="92">
        <f t="shared" si="15"/>
        <v>-100</v>
      </c>
      <c r="N65" s="78">
        <f t="shared" si="15"/>
        <v>-100</v>
      </c>
      <c r="O65" s="50">
        <f t="shared" si="16"/>
        <v>25</v>
      </c>
      <c r="P65" s="50">
        <f t="shared" si="16"/>
        <v>-40.51411529467584</v>
      </c>
    </row>
    <row r="66" spans="1:16" s="15" customFormat="1" ht="12" x14ac:dyDescent="0.2">
      <c r="B66" s="51" t="s">
        <v>28</v>
      </c>
      <c r="C66" s="67">
        <f t="shared" si="16"/>
        <v>-44.117647058823529</v>
      </c>
      <c r="D66" s="83">
        <f t="shared" si="16"/>
        <v>-49.210895815782088</v>
      </c>
      <c r="E66" s="67">
        <f t="shared" si="16"/>
        <v>-55.555555555555557</v>
      </c>
      <c r="F66" s="67">
        <f t="shared" si="16"/>
        <v>-24.973909419298614</v>
      </c>
      <c r="G66" s="93">
        <f t="shared" si="16"/>
        <v>0</v>
      </c>
      <c r="H66" s="83">
        <f t="shared" si="16"/>
        <v>76.579545454545453</v>
      </c>
      <c r="I66" s="67">
        <f t="shared" si="16"/>
        <v>150</v>
      </c>
      <c r="J66" s="67">
        <f t="shared" si="16"/>
        <v>1734.5879556259906</v>
      </c>
      <c r="K66" s="93">
        <f t="shared" si="15"/>
        <v>0</v>
      </c>
      <c r="L66" s="83">
        <f t="shared" si="15"/>
        <v>0</v>
      </c>
      <c r="M66" s="93">
        <f t="shared" si="15"/>
        <v>-33.333333333333329</v>
      </c>
      <c r="N66" s="83">
        <f t="shared" si="15"/>
        <v>-19.351683666340648</v>
      </c>
      <c r="O66" s="67">
        <f t="shared" si="16"/>
        <v>-37.931034482758619</v>
      </c>
      <c r="P66" s="67">
        <f t="shared" si="16"/>
        <v>35.206060118088551</v>
      </c>
    </row>
    <row r="67" spans="1:16" s="15" customFormat="1" ht="12.75" thickBot="1" x14ac:dyDescent="0.25">
      <c r="B67" s="65" t="s">
        <v>35</v>
      </c>
      <c r="C67" s="66">
        <f t="shared" si="16"/>
        <v>-28.000000000000004</v>
      </c>
      <c r="D67" s="84">
        <f t="shared" si="16"/>
        <v>-21.040325220749327</v>
      </c>
      <c r="E67" s="66">
        <f t="shared" si="16"/>
        <v>-20.588235294117645</v>
      </c>
      <c r="F67" s="66">
        <f t="shared" si="16"/>
        <v>15.457499626393972</v>
      </c>
      <c r="G67" s="94">
        <f t="shared" si="16"/>
        <v>-50</v>
      </c>
      <c r="H67" s="84">
        <f t="shared" si="16"/>
        <v>-89.787863914643424</v>
      </c>
      <c r="I67" s="66">
        <f t="shared" si="16"/>
        <v>42.857142857142854</v>
      </c>
      <c r="J67" s="66">
        <f t="shared" si="16"/>
        <v>327.18502234770739</v>
      </c>
      <c r="K67" s="94">
        <f t="shared" si="15"/>
        <v>0</v>
      </c>
      <c r="L67" s="84">
        <f t="shared" si="15"/>
        <v>0</v>
      </c>
      <c r="M67" s="94">
        <f t="shared" si="15"/>
        <v>27.27272727272727</v>
      </c>
      <c r="N67" s="84">
        <f t="shared" si="15"/>
        <v>192.70539260251687</v>
      </c>
      <c r="O67" s="66">
        <f t="shared" si="16"/>
        <v>-21.721311475409834</v>
      </c>
      <c r="P67" s="66">
        <f t="shared" si="16"/>
        <v>-17.224842414128734</v>
      </c>
    </row>
    <row r="68" spans="1:16" s="15" customFormat="1" ht="14.25" x14ac:dyDescent="0.3">
      <c r="B68" s="16"/>
      <c r="C68" s="17"/>
      <c r="D68" s="18"/>
      <c r="E68" s="17"/>
      <c r="F68" s="18"/>
      <c r="G68" s="17"/>
      <c r="H68" s="18"/>
      <c r="I68" s="17"/>
      <c r="J68" s="18"/>
      <c r="M68" s="19"/>
      <c r="N68" s="18"/>
      <c r="O68" s="18"/>
      <c r="P68" s="18"/>
    </row>
    <row r="69" spans="1:16" customFormat="1" ht="12.75" x14ac:dyDescent="0.2">
      <c r="A69" s="4"/>
      <c r="B69" s="36" t="s">
        <v>47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</row>
    <row r="70" spans="1:16" s="23" customFormat="1" ht="5.25" customHeight="1" x14ac:dyDescent="0.25">
      <c r="B70" s="38"/>
      <c r="C70" s="38"/>
      <c r="D70" s="38"/>
      <c r="E70" s="38"/>
      <c r="F70" s="38"/>
      <c r="G70" s="38"/>
      <c r="H70" s="2"/>
      <c r="I70" s="2"/>
      <c r="J70" s="2"/>
    </row>
    <row r="71" spans="1:16" s="23" customFormat="1" ht="12.75" x14ac:dyDescent="0.2">
      <c r="A71" s="62"/>
      <c r="B71" s="36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</row>
  </sheetData>
  <mergeCells count="8">
    <mergeCell ref="C9:P9"/>
    <mergeCell ref="C10:D10"/>
    <mergeCell ref="E10:F10"/>
    <mergeCell ref="G10:H10"/>
    <mergeCell ref="I10:J10"/>
    <mergeCell ref="M10:N10"/>
    <mergeCell ref="K10:L10"/>
    <mergeCell ref="O10:P10"/>
  </mergeCells>
  <pageMargins left="0.75" right="0.75" top="1" bottom="1" header="0.5" footer="0.5"/>
  <pageSetup orientation="portrait" r:id="rId1"/>
  <headerFooter alignWithMargins="0"/>
  <ignoredErrors>
    <ignoredError sqref="O16:P4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U72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R14" sqref="R14"/>
    </sheetView>
  </sheetViews>
  <sheetFormatPr defaultRowHeight="11.25" x14ac:dyDescent="0.2"/>
  <cols>
    <col min="1" max="1" width="1.140625" style="2" customWidth="1"/>
    <col min="2" max="2" width="18.85546875" style="2" bestFit="1" customWidth="1"/>
    <col min="3" max="3" width="7.42578125" style="2" bestFit="1" customWidth="1"/>
    <col min="4" max="4" width="12.5703125" style="2" bestFit="1" customWidth="1"/>
    <col min="5" max="5" width="8" style="2" bestFit="1" customWidth="1"/>
    <col min="6" max="6" width="12.5703125" style="2" bestFit="1" customWidth="1"/>
    <col min="7" max="7" width="8" style="2" bestFit="1" customWidth="1"/>
    <col min="8" max="8" width="11.7109375" style="2" bestFit="1" customWidth="1"/>
    <col min="9" max="9" width="8" style="2" bestFit="1" customWidth="1"/>
    <col min="10" max="10" width="11.7109375" style="2" bestFit="1" customWidth="1"/>
    <col min="11" max="11" width="8" style="2" bestFit="1" customWidth="1"/>
    <col min="12" max="12" width="11.7109375" style="2" bestFit="1" customWidth="1"/>
    <col min="13" max="13" width="8" style="2" bestFit="1" customWidth="1"/>
    <col min="14" max="14" width="11.7109375" style="2" bestFit="1" customWidth="1"/>
    <col min="15" max="15" width="7.140625" style="9" bestFit="1" customWidth="1"/>
    <col min="16" max="16" width="12.5703125" style="9" bestFit="1" customWidth="1"/>
    <col min="17" max="16384" width="9.140625" style="2"/>
  </cols>
  <sheetData>
    <row r="2" spans="2:16" s="23" customFormat="1" ht="12.75" x14ac:dyDescent="0.2">
      <c r="B2" s="24" t="str">
        <f ca="1">MID(CELL("filename",A1),FIND("]",CELL("filename",A1))+1,255)</f>
        <v>Table 2.4.3-B6</v>
      </c>
    </row>
    <row r="3" spans="2:16" s="23" customFormat="1" ht="12.75" x14ac:dyDescent="0.2"/>
    <row r="4" spans="2:16" s="23" customFormat="1" ht="12.75" x14ac:dyDescent="0.2">
      <c r="B4" s="1" t="s">
        <v>6</v>
      </c>
    </row>
    <row r="5" spans="2:16" s="23" customFormat="1" ht="12.75" x14ac:dyDescent="0.2">
      <c r="B5" s="1" t="s">
        <v>12</v>
      </c>
    </row>
    <row r="6" spans="2:16" s="23" customFormat="1" ht="12.75" x14ac:dyDescent="0.2">
      <c r="B6" s="1" t="s">
        <v>103</v>
      </c>
    </row>
    <row r="7" spans="2:16" s="23" customFormat="1" ht="12.75" x14ac:dyDescent="0.2">
      <c r="B7" s="1" t="s">
        <v>67</v>
      </c>
    </row>
    <row r="8" spans="2:16" ht="12.75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6" ht="12" x14ac:dyDescent="0.2">
      <c r="B9" s="46"/>
      <c r="C9" s="182" t="s">
        <v>13</v>
      </c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</row>
    <row r="10" spans="2:16" ht="29.25" customHeight="1" x14ac:dyDescent="0.2">
      <c r="B10" s="44"/>
      <c r="C10" s="184" t="s">
        <v>32</v>
      </c>
      <c r="D10" s="185"/>
      <c r="E10" s="186" t="s">
        <v>70</v>
      </c>
      <c r="F10" s="186"/>
      <c r="G10" s="184" t="s">
        <v>31</v>
      </c>
      <c r="H10" s="185"/>
      <c r="I10" s="186" t="s">
        <v>30</v>
      </c>
      <c r="J10" s="185"/>
      <c r="K10" s="184" t="s">
        <v>34</v>
      </c>
      <c r="L10" s="185"/>
      <c r="M10" s="184" t="s">
        <v>33</v>
      </c>
      <c r="N10" s="185"/>
      <c r="O10" s="186" t="s">
        <v>35</v>
      </c>
      <c r="P10" s="186"/>
    </row>
    <row r="11" spans="2:16" ht="12" x14ac:dyDescent="0.2">
      <c r="B11" s="45" t="s">
        <v>29</v>
      </c>
      <c r="C11" s="146" t="s">
        <v>2</v>
      </c>
      <c r="D11" s="147" t="s">
        <v>3</v>
      </c>
      <c r="E11" s="148" t="s">
        <v>2</v>
      </c>
      <c r="F11" s="148" t="s">
        <v>3</v>
      </c>
      <c r="G11" s="154" t="s">
        <v>2</v>
      </c>
      <c r="H11" s="153" t="s">
        <v>3</v>
      </c>
      <c r="I11" s="148" t="s">
        <v>2</v>
      </c>
      <c r="J11" s="147" t="s">
        <v>3</v>
      </c>
      <c r="K11" s="146" t="s">
        <v>2</v>
      </c>
      <c r="L11" s="147" t="s">
        <v>3</v>
      </c>
      <c r="M11" s="146" t="s">
        <v>2</v>
      </c>
      <c r="N11" s="147" t="s">
        <v>3</v>
      </c>
      <c r="O11" s="148" t="s">
        <v>2</v>
      </c>
      <c r="P11" s="148" t="s">
        <v>3</v>
      </c>
    </row>
    <row r="12" spans="2:16" ht="12.75" x14ac:dyDescent="0.2">
      <c r="B12" s="48">
        <v>2010</v>
      </c>
      <c r="C12" s="49"/>
      <c r="D12" s="77"/>
      <c r="E12" s="49"/>
      <c r="F12" s="49"/>
      <c r="G12" s="86"/>
      <c r="H12" s="77"/>
      <c r="I12" s="49"/>
      <c r="J12" s="49"/>
      <c r="K12" s="86"/>
      <c r="L12" s="77"/>
      <c r="M12" s="86"/>
      <c r="N12" s="77"/>
      <c r="O12" s="49"/>
      <c r="P12" s="49"/>
    </row>
    <row r="13" spans="2:16" ht="12" x14ac:dyDescent="0.2">
      <c r="B13" s="64" t="s">
        <v>14</v>
      </c>
      <c r="C13" s="71">
        <f>'[10]Statistical Data'!C8</f>
        <v>5</v>
      </c>
      <c r="D13" s="78">
        <f>'[10]Statistical Data'!D8</f>
        <v>2664900</v>
      </c>
      <c r="E13" s="71">
        <f>'[10]Statistical Data'!E8</f>
        <v>1</v>
      </c>
      <c r="F13" s="50">
        <f>'[10]Statistical Data'!F8</f>
        <v>945000</v>
      </c>
      <c r="G13" s="87">
        <f>'[10]Statistical Data'!G8</f>
        <v>0</v>
      </c>
      <c r="H13" s="78">
        <f>'[10]Statistical Data'!H8</f>
        <v>0</v>
      </c>
      <c r="I13" s="87">
        <f>'[10]Statistical Data'!I8</f>
        <v>1</v>
      </c>
      <c r="J13" s="78">
        <f>'[10]Statistical Data'!J8</f>
        <v>211700</v>
      </c>
      <c r="K13" s="71">
        <f>'[10]Statistical Data'!K8</f>
        <v>0</v>
      </c>
      <c r="L13" s="78">
        <f>'[10]Statistical Data'!L8</f>
        <v>0</v>
      </c>
      <c r="M13" s="71">
        <f>'[10]Statistical Data'!M8</f>
        <v>0</v>
      </c>
      <c r="N13" s="78">
        <f>'[10]Statistical Data'!N8</f>
        <v>0</v>
      </c>
      <c r="O13" s="71">
        <f t="shared" ref="O13:O28" si="0">+C13+E13+G13+I13+M13+K13</f>
        <v>7</v>
      </c>
      <c r="P13" s="50">
        <f t="shared" ref="P13:P28" si="1">+D13+F13+H13+J13+N13+L13</f>
        <v>3821600</v>
      </c>
    </row>
    <row r="14" spans="2:16" ht="12" x14ac:dyDescent="0.2">
      <c r="B14" s="64" t="s">
        <v>15</v>
      </c>
      <c r="C14" s="71">
        <f>'[10]Statistical Data'!C9</f>
        <v>4</v>
      </c>
      <c r="D14" s="78">
        <f>'[10]Statistical Data'!D9</f>
        <v>1863500</v>
      </c>
      <c r="E14" s="71">
        <f>'[10]Statistical Data'!E9</f>
        <v>5</v>
      </c>
      <c r="F14" s="50">
        <f>'[10]Statistical Data'!F9</f>
        <v>1982800</v>
      </c>
      <c r="G14" s="87">
        <f>'[10]Statistical Data'!G9</f>
        <v>0</v>
      </c>
      <c r="H14" s="78">
        <f>'[10]Statistical Data'!H9</f>
        <v>0</v>
      </c>
      <c r="I14" s="87">
        <f>'[10]Statistical Data'!I9</f>
        <v>3</v>
      </c>
      <c r="J14" s="78">
        <f>'[10]Statistical Data'!J9</f>
        <v>214600</v>
      </c>
      <c r="K14" s="71">
        <f>'[10]Statistical Data'!K9</f>
        <v>0</v>
      </c>
      <c r="L14" s="78">
        <f>'[10]Statistical Data'!L9</f>
        <v>0</v>
      </c>
      <c r="M14" s="71">
        <f>'[10]Statistical Data'!M9</f>
        <v>1</v>
      </c>
      <c r="N14" s="78">
        <f>'[10]Statistical Data'!N9</f>
        <v>480200</v>
      </c>
      <c r="O14" s="71">
        <f t="shared" si="0"/>
        <v>13</v>
      </c>
      <c r="P14" s="50">
        <f t="shared" si="1"/>
        <v>4541100</v>
      </c>
    </row>
    <row r="15" spans="2:16" ht="12" x14ac:dyDescent="0.2">
      <c r="B15" s="64" t="s">
        <v>16</v>
      </c>
      <c r="C15" s="71">
        <f>'[10]Statistical Data'!C10</f>
        <v>13</v>
      </c>
      <c r="D15" s="78">
        <f>'[10]Statistical Data'!D10</f>
        <v>5470000</v>
      </c>
      <c r="E15" s="71">
        <f>'[10]Statistical Data'!E10</f>
        <v>3</v>
      </c>
      <c r="F15" s="50">
        <f>'[10]Statistical Data'!F10</f>
        <v>1442700</v>
      </c>
      <c r="G15" s="87">
        <f>'[10]Statistical Data'!G10</f>
        <v>0</v>
      </c>
      <c r="H15" s="78">
        <f>'[10]Statistical Data'!H10</f>
        <v>0</v>
      </c>
      <c r="I15" s="87">
        <f>'[10]Statistical Data'!I10</f>
        <v>0</v>
      </c>
      <c r="J15" s="78">
        <f>'[10]Statistical Data'!J10</f>
        <v>0</v>
      </c>
      <c r="K15" s="71">
        <f>'[10]Statistical Data'!K10</f>
        <v>0</v>
      </c>
      <c r="L15" s="78">
        <f>'[10]Statistical Data'!L10</f>
        <v>0</v>
      </c>
      <c r="M15" s="71">
        <f>'[10]Statistical Data'!M10</f>
        <v>1</v>
      </c>
      <c r="N15" s="78">
        <f>'[10]Statistical Data'!N10</f>
        <v>96600</v>
      </c>
      <c r="O15" s="71">
        <f t="shared" si="0"/>
        <v>17</v>
      </c>
      <c r="P15" s="50">
        <f t="shared" si="1"/>
        <v>7009300</v>
      </c>
    </row>
    <row r="16" spans="2:16" ht="12" x14ac:dyDescent="0.2">
      <c r="B16" s="51" t="s">
        <v>17</v>
      </c>
      <c r="C16" s="72">
        <f>SUM(C13:C15)</f>
        <v>22</v>
      </c>
      <c r="D16" s="79">
        <f t="shared" ref="D16:J16" si="2">SUM(D13:D15)</f>
        <v>9998400</v>
      </c>
      <c r="E16" s="72">
        <f t="shared" si="2"/>
        <v>9</v>
      </c>
      <c r="F16" s="52">
        <f t="shared" si="2"/>
        <v>4370500</v>
      </c>
      <c r="G16" s="88">
        <f t="shared" si="2"/>
        <v>0</v>
      </c>
      <c r="H16" s="79">
        <f t="shared" si="2"/>
        <v>0</v>
      </c>
      <c r="I16" s="88">
        <f t="shared" si="2"/>
        <v>4</v>
      </c>
      <c r="J16" s="79">
        <f t="shared" si="2"/>
        <v>426300</v>
      </c>
      <c r="K16" s="88">
        <f>SUM(K13:K15)</f>
        <v>0</v>
      </c>
      <c r="L16" s="79">
        <f>SUM(L13:L15)</f>
        <v>0</v>
      </c>
      <c r="M16" s="88">
        <f>SUM(M13:M15)</f>
        <v>2</v>
      </c>
      <c r="N16" s="79">
        <f>SUM(N13:N15)</f>
        <v>576800</v>
      </c>
      <c r="O16" s="72">
        <f t="shared" si="0"/>
        <v>37</v>
      </c>
      <c r="P16" s="52">
        <f t="shared" si="1"/>
        <v>15372000</v>
      </c>
    </row>
    <row r="17" spans="2:16" ht="12" x14ac:dyDescent="0.2">
      <c r="B17" s="64" t="s">
        <v>18</v>
      </c>
      <c r="C17" s="71">
        <f>'[10]Statistical Data'!C12</f>
        <v>17</v>
      </c>
      <c r="D17" s="78">
        <f>'[10]Statistical Data'!D12</f>
        <v>4318300</v>
      </c>
      <c r="E17" s="71">
        <f>'[10]Statistical Data'!E12</f>
        <v>4</v>
      </c>
      <c r="F17" s="50">
        <f>'[10]Statistical Data'!F12</f>
        <v>2082500</v>
      </c>
      <c r="G17" s="87">
        <f>'[10]Statistical Data'!G12</f>
        <v>1</v>
      </c>
      <c r="H17" s="78">
        <f>'[10]Statistical Data'!H12</f>
        <v>109200</v>
      </c>
      <c r="I17" s="87">
        <f>'[10]Statistical Data'!I12</f>
        <v>1</v>
      </c>
      <c r="J17" s="78">
        <f>'[10]Statistical Data'!J12</f>
        <v>184000</v>
      </c>
      <c r="K17" s="71">
        <f>'[10]Statistical Data'!K12</f>
        <v>0</v>
      </c>
      <c r="L17" s="78">
        <f>'[10]Statistical Data'!L12</f>
        <v>0</v>
      </c>
      <c r="M17" s="71">
        <f>'[10]Statistical Data'!M12</f>
        <v>1</v>
      </c>
      <c r="N17" s="78">
        <f>'[10]Statistical Data'!N12</f>
        <v>192000</v>
      </c>
      <c r="O17" s="71">
        <f t="shared" si="0"/>
        <v>24</v>
      </c>
      <c r="P17" s="50">
        <f t="shared" si="1"/>
        <v>6886000</v>
      </c>
    </row>
    <row r="18" spans="2:16" ht="12" x14ac:dyDescent="0.2">
      <c r="B18" s="64" t="s">
        <v>19</v>
      </c>
      <c r="C18" s="71">
        <f>'[10]Statistical Data'!C13</f>
        <v>8</v>
      </c>
      <c r="D18" s="78">
        <f>'[10]Statistical Data'!D13</f>
        <v>2719246</v>
      </c>
      <c r="E18" s="71">
        <f>'[10]Statistical Data'!E13</f>
        <v>0</v>
      </c>
      <c r="F18" s="50">
        <f>'[10]Statistical Data'!F13</f>
        <v>0</v>
      </c>
      <c r="G18" s="87">
        <f>'[10]Statistical Data'!G13</f>
        <v>0</v>
      </c>
      <c r="H18" s="78">
        <f>'[10]Statistical Data'!H13</f>
        <v>0</v>
      </c>
      <c r="I18" s="87">
        <f>'[10]Statistical Data'!I13</f>
        <v>1</v>
      </c>
      <c r="J18" s="78">
        <f>'[10]Statistical Data'!J13</f>
        <v>866900</v>
      </c>
      <c r="K18" s="71">
        <f>'[10]Statistical Data'!K13</f>
        <v>1</v>
      </c>
      <c r="L18" s="78">
        <f>'[10]Statistical Data'!L13</f>
        <v>0</v>
      </c>
      <c r="M18" s="71">
        <f>'[10]Statistical Data'!M13</f>
        <v>0</v>
      </c>
      <c r="N18" s="78">
        <f>'[10]Statistical Data'!N13</f>
        <v>0</v>
      </c>
      <c r="O18" s="71">
        <f t="shared" si="0"/>
        <v>10</v>
      </c>
      <c r="P18" s="50">
        <f t="shared" si="1"/>
        <v>3586146</v>
      </c>
    </row>
    <row r="19" spans="2:16" ht="12" x14ac:dyDescent="0.2">
      <c r="B19" s="64" t="s">
        <v>20</v>
      </c>
      <c r="C19" s="71">
        <f>'[10]Statistical Data'!C14</f>
        <v>8</v>
      </c>
      <c r="D19" s="78">
        <f>'[10]Statistical Data'!D14</f>
        <v>2632400</v>
      </c>
      <c r="E19" s="71">
        <f>'[10]Statistical Data'!E14</f>
        <v>0</v>
      </c>
      <c r="F19" s="50">
        <f>'[10]Statistical Data'!F14</f>
        <v>0</v>
      </c>
      <c r="G19" s="87">
        <f>'[10]Statistical Data'!G14</f>
        <v>0</v>
      </c>
      <c r="H19" s="78">
        <f>'[10]Statistical Data'!H14</f>
        <v>0</v>
      </c>
      <c r="I19" s="87">
        <f>'[10]Statistical Data'!I14</f>
        <v>2</v>
      </c>
      <c r="J19" s="78">
        <f>'[10]Statistical Data'!J14</f>
        <v>193600</v>
      </c>
      <c r="K19" s="71">
        <f>'[10]Statistical Data'!K14</f>
        <v>0</v>
      </c>
      <c r="L19" s="78">
        <f>'[10]Statistical Data'!L14</f>
        <v>0</v>
      </c>
      <c r="M19" s="71">
        <f>'[10]Statistical Data'!M14</f>
        <v>0</v>
      </c>
      <c r="N19" s="78">
        <f>'[10]Statistical Data'!N14</f>
        <v>0</v>
      </c>
      <c r="O19" s="71">
        <f t="shared" si="0"/>
        <v>10</v>
      </c>
      <c r="P19" s="50">
        <f t="shared" si="1"/>
        <v>2826000</v>
      </c>
    </row>
    <row r="20" spans="2:16" ht="12" x14ac:dyDescent="0.2">
      <c r="B20" s="51" t="s">
        <v>21</v>
      </c>
      <c r="C20" s="72">
        <f t="shared" ref="C20:J20" si="3">SUM(C17:C19)</f>
        <v>33</v>
      </c>
      <c r="D20" s="79">
        <f t="shared" si="3"/>
        <v>9669946</v>
      </c>
      <c r="E20" s="72">
        <f t="shared" si="3"/>
        <v>4</v>
      </c>
      <c r="F20" s="52">
        <f t="shared" si="3"/>
        <v>2082500</v>
      </c>
      <c r="G20" s="88">
        <f t="shared" si="3"/>
        <v>1</v>
      </c>
      <c r="H20" s="79">
        <f t="shared" si="3"/>
        <v>109200</v>
      </c>
      <c r="I20" s="88">
        <f t="shared" si="3"/>
        <v>4</v>
      </c>
      <c r="J20" s="79">
        <f t="shared" si="3"/>
        <v>1244500</v>
      </c>
      <c r="K20" s="88">
        <f>SUM(K17:K19)</f>
        <v>1</v>
      </c>
      <c r="L20" s="79">
        <f>SUM(L17:L19)</f>
        <v>0</v>
      </c>
      <c r="M20" s="88">
        <f>SUM(M17:M19)</f>
        <v>1</v>
      </c>
      <c r="N20" s="79">
        <f>SUM(N17:N19)</f>
        <v>192000</v>
      </c>
      <c r="O20" s="72">
        <f t="shared" si="0"/>
        <v>44</v>
      </c>
      <c r="P20" s="52">
        <f t="shared" si="1"/>
        <v>13298146</v>
      </c>
    </row>
    <row r="21" spans="2:16" ht="12" x14ac:dyDescent="0.2">
      <c r="B21" s="64" t="s">
        <v>22</v>
      </c>
      <c r="C21" s="71">
        <f>'[10]Statistical Data'!C16</f>
        <v>11</v>
      </c>
      <c r="D21" s="78">
        <f>'[10]Statistical Data'!D16</f>
        <v>3545500</v>
      </c>
      <c r="E21" s="71">
        <f>'[10]Statistical Data'!E16</f>
        <v>2</v>
      </c>
      <c r="F21" s="50">
        <f>'[10]Statistical Data'!F16</f>
        <v>1820500</v>
      </c>
      <c r="G21" s="87">
        <f>'[10]Statistical Data'!G16</f>
        <v>4</v>
      </c>
      <c r="H21" s="78">
        <f>'[10]Statistical Data'!H16</f>
        <v>1122900</v>
      </c>
      <c r="I21" s="87">
        <f>'[10]Statistical Data'!I16</f>
        <v>1</v>
      </c>
      <c r="J21" s="78">
        <f>'[10]Statistical Data'!J16</f>
        <v>1000000</v>
      </c>
      <c r="K21" s="71">
        <f>'[10]Statistical Data'!K16</f>
        <v>0</v>
      </c>
      <c r="L21" s="78">
        <f>'[10]Statistical Data'!L16</f>
        <v>0</v>
      </c>
      <c r="M21" s="71">
        <f>'[10]Statistical Data'!M16</f>
        <v>0</v>
      </c>
      <c r="N21" s="78">
        <f>'[10]Statistical Data'!N16</f>
        <v>0</v>
      </c>
      <c r="O21" s="71">
        <f t="shared" si="0"/>
        <v>18</v>
      </c>
      <c r="P21" s="50">
        <f t="shared" si="1"/>
        <v>7488900</v>
      </c>
    </row>
    <row r="22" spans="2:16" ht="12" x14ac:dyDescent="0.2">
      <c r="B22" s="64" t="s">
        <v>23</v>
      </c>
      <c r="C22" s="71">
        <f>'[10]Statistical Data'!C17</f>
        <v>8</v>
      </c>
      <c r="D22" s="78">
        <f>'[10]Statistical Data'!D17</f>
        <v>2786200</v>
      </c>
      <c r="E22" s="71">
        <f>'[10]Statistical Data'!E17</f>
        <v>1</v>
      </c>
      <c r="F22" s="50">
        <f>'[10]Statistical Data'!F17</f>
        <v>543800</v>
      </c>
      <c r="G22" s="87">
        <f>'[10]Statistical Data'!G17</f>
        <v>0</v>
      </c>
      <c r="H22" s="78">
        <f>'[10]Statistical Data'!H17</f>
        <v>0</v>
      </c>
      <c r="I22" s="87">
        <f>'[10]Statistical Data'!I17</f>
        <v>1</v>
      </c>
      <c r="J22" s="78">
        <f>'[10]Statistical Data'!J17</f>
        <v>153600</v>
      </c>
      <c r="K22" s="71">
        <f>'[10]Statistical Data'!K17</f>
        <v>0</v>
      </c>
      <c r="L22" s="78">
        <f>'[10]Statistical Data'!L17</f>
        <v>0</v>
      </c>
      <c r="M22" s="71">
        <f>'[10]Statistical Data'!M17</f>
        <v>0</v>
      </c>
      <c r="N22" s="78">
        <f>'[10]Statistical Data'!N17</f>
        <v>0</v>
      </c>
      <c r="O22" s="71">
        <f t="shared" si="0"/>
        <v>10</v>
      </c>
      <c r="P22" s="50">
        <f t="shared" si="1"/>
        <v>3483600</v>
      </c>
    </row>
    <row r="23" spans="2:16" ht="12" x14ac:dyDescent="0.2">
      <c r="B23" s="64" t="s">
        <v>36</v>
      </c>
      <c r="C23" s="71">
        <f>'[10]Statistical Data'!C18</f>
        <v>6</v>
      </c>
      <c r="D23" s="78">
        <f>'[10]Statistical Data'!D18</f>
        <v>1263300</v>
      </c>
      <c r="E23" s="71">
        <f>'[10]Statistical Data'!E18</f>
        <v>3</v>
      </c>
      <c r="F23" s="50">
        <f>'[10]Statistical Data'!F18</f>
        <v>624100</v>
      </c>
      <c r="G23" s="87">
        <f>'[10]Statistical Data'!G18</f>
        <v>0</v>
      </c>
      <c r="H23" s="78">
        <f>'[10]Statistical Data'!H18</f>
        <v>0</v>
      </c>
      <c r="I23" s="87">
        <f>'[10]Statistical Data'!I18</f>
        <v>0</v>
      </c>
      <c r="J23" s="78">
        <f>'[10]Statistical Data'!J18</f>
        <v>0</v>
      </c>
      <c r="K23" s="71">
        <f>'[10]Statistical Data'!K18</f>
        <v>1</v>
      </c>
      <c r="L23" s="78">
        <f>'[10]Statistical Data'!L18</f>
        <v>0</v>
      </c>
      <c r="M23" s="71">
        <f>'[10]Statistical Data'!M18</f>
        <v>0</v>
      </c>
      <c r="N23" s="78">
        <f>'[10]Statistical Data'!N18</f>
        <v>0</v>
      </c>
      <c r="O23" s="71">
        <f t="shared" si="0"/>
        <v>10</v>
      </c>
      <c r="P23" s="50">
        <f t="shared" si="1"/>
        <v>1887400</v>
      </c>
    </row>
    <row r="24" spans="2:16" ht="12" x14ac:dyDescent="0.2">
      <c r="B24" s="51" t="s">
        <v>24</v>
      </c>
      <c r="C24" s="72">
        <f t="shared" ref="C24:J24" si="4">SUM(C21:C23)</f>
        <v>25</v>
      </c>
      <c r="D24" s="79">
        <f t="shared" si="4"/>
        <v>7595000</v>
      </c>
      <c r="E24" s="72">
        <f t="shared" si="4"/>
        <v>6</v>
      </c>
      <c r="F24" s="52">
        <f t="shared" si="4"/>
        <v>2988400</v>
      </c>
      <c r="G24" s="88">
        <f t="shared" si="4"/>
        <v>4</v>
      </c>
      <c r="H24" s="79">
        <f t="shared" si="4"/>
        <v>1122900</v>
      </c>
      <c r="I24" s="88">
        <f t="shared" si="4"/>
        <v>2</v>
      </c>
      <c r="J24" s="79">
        <f t="shared" si="4"/>
        <v>1153600</v>
      </c>
      <c r="K24" s="88">
        <f>SUM(K21:K23)</f>
        <v>1</v>
      </c>
      <c r="L24" s="79">
        <f>SUM(L21:L23)</f>
        <v>0</v>
      </c>
      <c r="M24" s="88">
        <f>SUM(M21:M23)</f>
        <v>0</v>
      </c>
      <c r="N24" s="79">
        <f>SUM(N21:N23)</f>
        <v>0</v>
      </c>
      <c r="O24" s="72">
        <f t="shared" si="0"/>
        <v>38</v>
      </c>
      <c r="P24" s="52">
        <f t="shared" si="1"/>
        <v>12859900</v>
      </c>
    </row>
    <row r="25" spans="2:16" ht="12" x14ac:dyDescent="0.2">
      <c r="B25" s="64" t="s">
        <v>25</v>
      </c>
      <c r="C25" s="71">
        <f>'[10]Statistical Data'!C20</f>
        <v>8</v>
      </c>
      <c r="D25" s="78">
        <f>'[10]Statistical Data'!D20</f>
        <v>2259100</v>
      </c>
      <c r="E25" s="71">
        <f>'[10]Statistical Data'!E20</f>
        <v>1</v>
      </c>
      <c r="F25" s="50">
        <f>'[10]Statistical Data'!F20</f>
        <v>149700</v>
      </c>
      <c r="G25" s="87">
        <f>'[10]Statistical Data'!G20</f>
        <v>0</v>
      </c>
      <c r="H25" s="78">
        <f>'[10]Statistical Data'!H20</f>
        <v>0</v>
      </c>
      <c r="I25" s="87">
        <f>'[10]Statistical Data'!I20</f>
        <v>3</v>
      </c>
      <c r="J25" s="78">
        <f>'[10]Statistical Data'!J20</f>
        <v>227600</v>
      </c>
      <c r="K25" s="71">
        <f>'[10]Statistical Data'!K20</f>
        <v>0</v>
      </c>
      <c r="L25" s="78">
        <f>'[10]Statistical Data'!L20</f>
        <v>0</v>
      </c>
      <c r="M25" s="71">
        <f>'[10]Statistical Data'!M20</f>
        <v>0</v>
      </c>
      <c r="N25" s="78">
        <f>'[10]Statistical Data'!N20</f>
        <v>0</v>
      </c>
      <c r="O25" s="71">
        <f t="shared" si="0"/>
        <v>12</v>
      </c>
      <c r="P25" s="50">
        <f t="shared" si="1"/>
        <v>2636400</v>
      </c>
    </row>
    <row r="26" spans="2:16" ht="12" x14ac:dyDescent="0.2">
      <c r="B26" s="64" t="s">
        <v>26</v>
      </c>
      <c r="C26" s="71">
        <f>'[10]Statistical Data'!C21</f>
        <v>9</v>
      </c>
      <c r="D26" s="78">
        <f>'[10]Statistical Data'!D21</f>
        <v>2531858</v>
      </c>
      <c r="E26" s="71">
        <f>'[10]Statistical Data'!E21</f>
        <v>1</v>
      </c>
      <c r="F26" s="50">
        <f>'[10]Statistical Data'!F21</f>
        <v>410800</v>
      </c>
      <c r="G26" s="87">
        <f>'[10]Statistical Data'!G21</f>
        <v>2</v>
      </c>
      <c r="H26" s="78">
        <f>'[10]Statistical Data'!H21</f>
        <v>1556800</v>
      </c>
      <c r="I26" s="87">
        <f>'[10]Statistical Data'!I21</f>
        <v>2</v>
      </c>
      <c r="J26" s="78">
        <f>'[10]Statistical Data'!J21</f>
        <v>167800</v>
      </c>
      <c r="K26" s="71">
        <f>'[10]Statistical Data'!K21</f>
        <v>0</v>
      </c>
      <c r="L26" s="78">
        <f>'[10]Statistical Data'!L21</f>
        <v>0</v>
      </c>
      <c r="M26" s="71">
        <f>'[10]Statistical Data'!M21</f>
        <v>0</v>
      </c>
      <c r="N26" s="78">
        <f>'[10]Statistical Data'!N21</f>
        <v>0</v>
      </c>
      <c r="O26" s="71">
        <f t="shared" si="0"/>
        <v>14</v>
      </c>
      <c r="P26" s="50">
        <f t="shared" si="1"/>
        <v>4667258</v>
      </c>
    </row>
    <row r="27" spans="2:16" ht="12" x14ac:dyDescent="0.2">
      <c r="B27" s="64" t="s">
        <v>27</v>
      </c>
      <c r="C27" s="71">
        <f>'[10]Statistical Data'!C22</f>
        <v>11</v>
      </c>
      <c r="D27" s="78">
        <f>'[10]Statistical Data'!D22</f>
        <v>3354600</v>
      </c>
      <c r="E27" s="71">
        <f>'[10]Statistical Data'!E22</f>
        <v>5</v>
      </c>
      <c r="F27" s="50">
        <f>'[10]Statistical Data'!F22</f>
        <v>2369166</v>
      </c>
      <c r="G27" s="87">
        <f>'[10]Statistical Data'!G22</f>
        <v>0</v>
      </c>
      <c r="H27" s="78">
        <f>'[10]Statistical Data'!H22</f>
        <v>0</v>
      </c>
      <c r="I27" s="87">
        <f>'[10]Statistical Data'!I22</f>
        <v>3</v>
      </c>
      <c r="J27" s="78">
        <f>'[10]Statistical Data'!J22</f>
        <v>0</v>
      </c>
      <c r="K27" s="71">
        <f>'[10]Statistical Data'!K22</f>
        <v>0</v>
      </c>
      <c r="L27" s="78">
        <f>'[10]Statistical Data'!L22</f>
        <v>0</v>
      </c>
      <c r="M27" s="71">
        <f>'[10]Statistical Data'!M22</f>
        <v>0</v>
      </c>
      <c r="N27" s="78">
        <f>'[10]Statistical Data'!N22</f>
        <v>0</v>
      </c>
      <c r="O27" s="71">
        <f t="shared" si="0"/>
        <v>19</v>
      </c>
      <c r="P27" s="50">
        <f t="shared" si="1"/>
        <v>5723766</v>
      </c>
    </row>
    <row r="28" spans="2:16" s="9" customFormat="1" ht="12" x14ac:dyDescent="0.2">
      <c r="B28" s="51" t="s">
        <v>28</v>
      </c>
      <c r="C28" s="72">
        <f t="shared" ref="C28:J28" si="5">SUM(C25:C27)</f>
        <v>28</v>
      </c>
      <c r="D28" s="79">
        <f>SUM(D25:D27)</f>
        <v>8145558</v>
      </c>
      <c r="E28" s="72">
        <f t="shared" si="5"/>
        <v>7</v>
      </c>
      <c r="F28" s="52">
        <f t="shared" si="5"/>
        <v>2929666</v>
      </c>
      <c r="G28" s="88">
        <f>SUM(G25:G27)</f>
        <v>2</v>
      </c>
      <c r="H28" s="79">
        <f t="shared" si="5"/>
        <v>1556800</v>
      </c>
      <c r="I28" s="88">
        <f t="shared" si="5"/>
        <v>8</v>
      </c>
      <c r="J28" s="79">
        <f t="shared" si="5"/>
        <v>395400</v>
      </c>
      <c r="K28" s="88">
        <f>SUM(K25:K27)</f>
        <v>0</v>
      </c>
      <c r="L28" s="79">
        <f>SUM(L25:L27)</f>
        <v>0</v>
      </c>
      <c r="M28" s="88">
        <f>SUM(M25:M27)</f>
        <v>0</v>
      </c>
      <c r="N28" s="79">
        <f>SUM(N25:N27)</f>
        <v>0</v>
      </c>
      <c r="O28" s="72">
        <f t="shared" si="0"/>
        <v>45</v>
      </c>
      <c r="P28" s="52">
        <f t="shared" si="1"/>
        <v>13027424</v>
      </c>
    </row>
    <row r="29" spans="2:16" s="9" customFormat="1" ht="12" x14ac:dyDescent="0.2">
      <c r="B29" s="45" t="s">
        <v>35</v>
      </c>
      <c r="C29" s="73">
        <f t="shared" ref="C29:J29" si="6">+C16+C20+C24+C28</f>
        <v>108</v>
      </c>
      <c r="D29" s="80">
        <f t="shared" si="6"/>
        <v>35408904</v>
      </c>
      <c r="E29" s="73">
        <f t="shared" si="6"/>
        <v>26</v>
      </c>
      <c r="F29" s="53">
        <f t="shared" si="6"/>
        <v>12371066</v>
      </c>
      <c r="G29" s="89">
        <f t="shared" si="6"/>
        <v>7</v>
      </c>
      <c r="H29" s="80">
        <f t="shared" si="6"/>
        <v>2788900</v>
      </c>
      <c r="I29" s="89">
        <f t="shared" si="6"/>
        <v>18</v>
      </c>
      <c r="J29" s="80">
        <f t="shared" si="6"/>
        <v>3219800</v>
      </c>
      <c r="K29" s="89">
        <f>+K16+K20+K24+K28</f>
        <v>2</v>
      </c>
      <c r="L29" s="80">
        <f>+L16+L20+L24+L28</f>
        <v>0</v>
      </c>
      <c r="M29" s="89">
        <f>+M16+M20+M24+M28</f>
        <v>3</v>
      </c>
      <c r="N29" s="80">
        <f>+N16+N20+N24+N28</f>
        <v>768800</v>
      </c>
      <c r="O29" s="73">
        <f>+C29+E29+G29+I29+M29+K29</f>
        <v>164</v>
      </c>
      <c r="P29" s="53">
        <f>P16+P20+P24+P28</f>
        <v>54557470</v>
      </c>
    </row>
    <row r="30" spans="2:16" s="9" customFormat="1" ht="12" x14ac:dyDescent="0.2">
      <c r="B30" s="45"/>
      <c r="C30" s="68"/>
      <c r="D30" s="54"/>
      <c r="E30" s="68"/>
      <c r="F30" s="54"/>
      <c r="G30" s="68"/>
      <c r="H30" s="54"/>
      <c r="I30" s="68"/>
      <c r="J30" s="54"/>
      <c r="K30" s="68"/>
      <c r="L30" s="54"/>
      <c r="M30" s="68"/>
      <c r="N30" s="54"/>
      <c r="O30" s="68"/>
      <c r="P30" s="54"/>
    </row>
    <row r="31" spans="2:16" s="15" customFormat="1" ht="12.75" x14ac:dyDescent="0.2">
      <c r="B31" s="55">
        <v>2011</v>
      </c>
      <c r="C31" s="69"/>
      <c r="D31" s="81"/>
      <c r="E31" s="69"/>
      <c r="F31" s="56"/>
      <c r="G31" s="90"/>
      <c r="H31" s="81"/>
      <c r="I31" s="69"/>
      <c r="J31" s="56"/>
      <c r="K31" s="90"/>
      <c r="L31" s="81"/>
      <c r="M31" s="90"/>
      <c r="N31" s="81"/>
      <c r="O31" s="69"/>
      <c r="P31" s="56"/>
    </row>
    <row r="32" spans="2:16" s="15" customFormat="1" ht="12" x14ac:dyDescent="0.2">
      <c r="B32" s="64" t="s">
        <v>14</v>
      </c>
      <c r="C32" s="71">
        <f>'[11]Statistical Data'!C8</f>
        <v>4</v>
      </c>
      <c r="D32" s="78">
        <f>'[11]Statistical Data'!D8</f>
        <v>1511000</v>
      </c>
      <c r="E32" s="71">
        <f>'[11]Statistical Data'!E8</f>
        <v>0</v>
      </c>
      <c r="F32" s="50">
        <f>'[11]Statistical Data'!F8</f>
        <v>0</v>
      </c>
      <c r="G32" s="87">
        <f>'[11]Statistical Data'!G8</f>
        <v>1</v>
      </c>
      <c r="H32" s="78">
        <f>'[11]Statistical Data'!H8</f>
        <v>96600</v>
      </c>
      <c r="I32" s="71">
        <f>'[11]Statistical Data'!I8</f>
        <v>1</v>
      </c>
      <c r="J32" s="50">
        <f>'[11]Statistical Data'!J8</f>
        <v>452500</v>
      </c>
      <c r="K32" s="87">
        <f>'[11]Statistical Data'!M8</f>
        <v>0</v>
      </c>
      <c r="L32" s="78">
        <f>'[11]Statistical Data'!N8</f>
        <v>0</v>
      </c>
      <c r="M32" s="87">
        <f>'[11]Statistical Data'!K8</f>
        <v>0</v>
      </c>
      <c r="N32" s="78">
        <f>'[11]Statistical Data'!L8</f>
        <v>0</v>
      </c>
      <c r="O32" s="71">
        <f t="shared" ref="O32:P34" si="7">+C32+E32+G32+I32+M32+K32</f>
        <v>6</v>
      </c>
      <c r="P32" s="50">
        <f t="shared" si="7"/>
        <v>2060100</v>
      </c>
    </row>
    <row r="33" spans="2:16" s="15" customFormat="1" ht="12" x14ac:dyDescent="0.2">
      <c r="B33" s="64" t="s">
        <v>15</v>
      </c>
      <c r="C33" s="71">
        <f>'[11]Statistical Data'!C9</f>
        <v>13</v>
      </c>
      <c r="D33" s="78">
        <f>'[11]Statistical Data'!D9</f>
        <v>3700700</v>
      </c>
      <c r="E33" s="71">
        <f>'[11]Statistical Data'!E9</f>
        <v>2</v>
      </c>
      <c r="F33" s="50">
        <f>'[11]Statistical Data'!F9</f>
        <v>1958200</v>
      </c>
      <c r="G33" s="87">
        <f>'[11]Statistical Data'!G9</f>
        <v>0</v>
      </c>
      <c r="H33" s="78">
        <f>'[11]Statistical Data'!H9</f>
        <v>0</v>
      </c>
      <c r="I33" s="71">
        <f>'[11]Statistical Data'!I9</f>
        <v>2</v>
      </c>
      <c r="J33" s="50">
        <f>'[11]Statistical Data'!J9</f>
        <v>2025600</v>
      </c>
      <c r="K33" s="87">
        <f>'[11]Statistical Data'!M9</f>
        <v>1</v>
      </c>
      <c r="L33" s="78">
        <f>'[11]Statistical Data'!N9</f>
        <v>980000</v>
      </c>
      <c r="M33" s="87">
        <f>'[11]Statistical Data'!K9</f>
        <v>0</v>
      </c>
      <c r="N33" s="78">
        <f>'[11]Statistical Data'!L9</f>
        <v>0</v>
      </c>
      <c r="O33" s="71">
        <f t="shared" si="7"/>
        <v>18</v>
      </c>
      <c r="P33" s="50">
        <f t="shared" si="7"/>
        <v>8664500</v>
      </c>
    </row>
    <row r="34" spans="2:16" s="15" customFormat="1" ht="12" x14ac:dyDescent="0.2">
      <c r="B34" s="64" t="s">
        <v>16</v>
      </c>
      <c r="C34" s="71">
        <f>'[11]Statistical Data'!C10</f>
        <v>12</v>
      </c>
      <c r="D34" s="78">
        <f>'[11]Statistical Data'!D10</f>
        <v>4247400</v>
      </c>
      <c r="E34" s="71">
        <f>'[11]Statistical Data'!E10</f>
        <v>0</v>
      </c>
      <c r="F34" s="50">
        <f>'[11]Statistical Data'!F10</f>
        <v>0</v>
      </c>
      <c r="G34" s="87">
        <f>'[11]Statistical Data'!G10</f>
        <v>0</v>
      </c>
      <c r="H34" s="78">
        <f>'[11]Statistical Data'!H10</f>
        <v>0</v>
      </c>
      <c r="I34" s="71">
        <f>'[11]Statistical Data'!I10</f>
        <v>1</v>
      </c>
      <c r="J34" s="50">
        <f>'[11]Statistical Data'!J10</f>
        <v>260600</v>
      </c>
      <c r="K34" s="87">
        <f>'[11]Statistical Data'!M10</f>
        <v>2</v>
      </c>
      <c r="L34" s="78">
        <f>'[11]Statistical Data'!N10</f>
        <v>772800</v>
      </c>
      <c r="M34" s="87">
        <f>'[11]Statistical Data'!K10</f>
        <v>1</v>
      </c>
      <c r="N34" s="78">
        <f>'[11]Statistical Data'!L10</f>
        <v>600000</v>
      </c>
      <c r="O34" s="71">
        <f t="shared" si="7"/>
        <v>16</v>
      </c>
      <c r="P34" s="50">
        <f t="shared" si="7"/>
        <v>5880800</v>
      </c>
    </row>
    <row r="35" spans="2:16" ht="12" x14ac:dyDescent="0.2">
      <c r="B35" s="51" t="s">
        <v>17</v>
      </c>
      <c r="C35" s="72">
        <f>SUM(C32:C34)</f>
        <v>29</v>
      </c>
      <c r="D35" s="79">
        <f t="shared" ref="D35:J35" si="8">SUM(D32:D34)</f>
        <v>9459100</v>
      </c>
      <c r="E35" s="72">
        <f t="shared" si="8"/>
        <v>2</v>
      </c>
      <c r="F35" s="52">
        <f t="shared" si="8"/>
        <v>1958200</v>
      </c>
      <c r="G35" s="88">
        <f t="shared" si="8"/>
        <v>1</v>
      </c>
      <c r="H35" s="79">
        <f t="shared" si="8"/>
        <v>96600</v>
      </c>
      <c r="I35" s="72">
        <f t="shared" si="8"/>
        <v>4</v>
      </c>
      <c r="J35" s="52">
        <f t="shared" si="8"/>
        <v>2738700</v>
      </c>
      <c r="K35" s="88">
        <f>SUM(K32:K34)</f>
        <v>3</v>
      </c>
      <c r="L35" s="79">
        <f>SUM(L32:L34)</f>
        <v>1752800</v>
      </c>
      <c r="M35" s="88">
        <f>SUM(M32:M34)</f>
        <v>1</v>
      </c>
      <c r="N35" s="79">
        <f>SUM(N32:N34)</f>
        <v>600000</v>
      </c>
      <c r="O35" s="72">
        <f t="shared" ref="O35:O48" si="9">+C35+E35+G35+I35+M35+K35</f>
        <v>40</v>
      </c>
      <c r="P35" s="52">
        <f>SUM(P32:P34)</f>
        <v>16605400</v>
      </c>
    </row>
    <row r="36" spans="2:16" s="15" customFormat="1" ht="12" x14ac:dyDescent="0.2">
      <c r="B36" s="64" t="s">
        <v>18</v>
      </c>
      <c r="C36" s="71">
        <f>'[11]Statistical Data'!C12</f>
        <v>6</v>
      </c>
      <c r="D36" s="78">
        <f>'[11]Statistical Data'!D12</f>
        <v>1743200</v>
      </c>
      <c r="E36" s="71">
        <f>'[11]Statistical Data'!E12</f>
        <v>5</v>
      </c>
      <c r="F36" s="50">
        <f>'[11]Statistical Data'!F12</f>
        <v>1393900</v>
      </c>
      <c r="G36" s="87">
        <f>'[11]Statistical Data'!G12</f>
        <v>0</v>
      </c>
      <c r="H36" s="78">
        <f>'[11]Statistical Data'!H12</f>
        <v>0</v>
      </c>
      <c r="I36" s="71">
        <f>'[11]Statistical Data'!I12</f>
        <v>2</v>
      </c>
      <c r="J36" s="50">
        <f>'[11]Statistical Data'!J12</f>
        <v>768700</v>
      </c>
      <c r="K36" s="87">
        <f>'[11]Statistical Data'!M12</f>
        <v>0</v>
      </c>
      <c r="L36" s="78">
        <f>'[11]Statistical Data'!N12</f>
        <v>0</v>
      </c>
      <c r="M36" s="87">
        <f>'[11]Statistical Data'!K12</f>
        <v>0</v>
      </c>
      <c r="N36" s="78">
        <f>'[11]Statistical Data'!L12</f>
        <v>0</v>
      </c>
      <c r="O36" s="71">
        <f t="shared" si="9"/>
        <v>13</v>
      </c>
      <c r="P36" s="50">
        <f>+D36+F36+H36+J36+N36+L36</f>
        <v>3905800</v>
      </c>
    </row>
    <row r="37" spans="2:16" s="15" customFormat="1" ht="12" x14ac:dyDescent="0.2">
      <c r="B37" s="64" t="s">
        <v>19</v>
      </c>
      <c r="C37" s="71">
        <f>'[11]Statistical Data'!C13</f>
        <v>4</v>
      </c>
      <c r="D37" s="78">
        <f>'[11]Statistical Data'!D13</f>
        <v>1606200</v>
      </c>
      <c r="E37" s="71">
        <f>'[11]Statistical Data'!E13</f>
        <v>2</v>
      </c>
      <c r="F37" s="50">
        <f>'[11]Statistical Data'!F13</f>
        <v>1045100</v>
      </c>
      <c r="G37" s="87">
        <f>'[11]Statistical Data'!G13</f>
        <v>4</v>
      </c>
      <c r="H37" s="78">
        <f>'[11]Statistical Data'!H13</f>
        <v>7412800</v>
      </c>
      <c r="I37" s="71">
        <f>'[11]Statistical Data'!I13</f>
        <v>3</v>
      </c>
      <c r="J37" s="50">
        <f>'[11]Statistical Data'!J13</f>
        <v>1678100</v>
      </c>
      <c r="K37" s="87">
        <f>'[11]Statistical Data'!M13</f>
        <v>2</v>
      </c>
      <c r="L37" s="78">
        <f>'[11]Statistical Data'!N13</f>
        <v>450400</v>
      </c>
      <c r="M37" s="87">
        <f>'[11]Statistical Data'!K13</f>
        <v>0</v>
      </c>
      <c r="N37" s="78">
        <f>'[11]Statistical Data'!L13</f>
        <v>0</v>
      </c>
      <c r="O37" s="71">
        <f t="shared" si="9"/>
        <v>15</v>
      </c>
      <c r="P37" s="50">
        <f>+D37+F37+H37+J37+N37+L37</f>
        <v>12192600</v>
      </c>
    </row>
    <row r="38" spans="2:16" s="15" customFormat="1" ht="12" x14ac:dyDescent="0.2">
      <c r="B38" s="64" t="s">
        <v>20</v>
      </c>
      <c r="C38" s="71">
        <f>'[11]Statistical Data'!C14</f>
        <v>9</v>
      </c>
      <c r="D38" s="78">
        <f>'[11]Statistical Data'!D14</f>
        <v>3513900</v>
      </c>
      <c r="E38" s="71">
        <f>'[11]Statistical Data'!E14</f>
        <v>4</v>
      </c>
      <c r="F38" s="50">
        <f>'[11]Statistical Data'!F14</f>
        <v>834300</v>
      </c>
      <c r="G38" s="87">
        <f>'[11]Statistical Data'!G14</f>
        <v>0</v>
      </c>
      <c r="H38" s="78">
        <f>'[11]Statistical Data'!H14</f>
        <v>0</v>
      </c>
      <c r="I38" s="71">
        <f>'[11]Statistical Data'!I14</f>
        <v>2</v>
      </c>
      <c r="J38" s="50">
        <f>'[11]Statistical Data'!J14</f>
        <v>552400</v>
      </c>
      <c r="K38" s="87">
        <f>'[11]Statistical Data'!M14</f>
        <v>1</v>
      </c>
      <c r="L38" s="78">
        <f>'[11]Statistical Data'!N14</f>
        <v>0</v>
      </c>
      <c r="M38" s="87">
        <f>'[11]Statistical Data'!K14</f>
        <v>0</v>
      </c>
      <c r="N38" s="78">
        <f>'[11]Statistical Data'!L14</f>
        <v>0</v>
      </c>
      <c r="O38" s="71">
        <f t="shared" si="9"/>
        <v>16</v>
      </c>
      <c r="P38" s="50">
        <f>+D38+F38+H38+J38+N38+L38</f>
        <v>4900600</v>
      </c>
    </row>
    <row r="39" spans="2:16" ht="12" x14ac:dyDescent="0.2">
      <c r="B39" s="51" t="s">
        <v>21</v>
      </c>
      <c r="C39" s="72">
        <f t="shared" ref="C39:J39" si="10">SUM(C36:C38)</f>
        <v>19</v>
      </c>
      <c r="D39" s="79">
        <f t="shared" si="10"/>
        <v>6863300</v>
      </c>
      <c r="E39" s="72">
        <f t="shared" si="10"/>
        <v>11</v>
      </c>
      <c r="F39" s="52">
        <f t="shared" si="10"/>
        <v>3273300</v>
      </c>
      <c r="G39" s="88">
        <f t="shared" si="10"/>
        <v>4</v>
      </c>
      <c r="H39" s="79">
        <f t="shared" si="10"/>
        <v>7412800</v>
      </c>
      <c r="I39" s="72">
        <f t="shared" si="10"/>
        <v>7</v>
      </c>
      <c r="J39" s="52">
        <f t="shared" si="10"/>
        <v>2999200</v>
      </c>
      <c r="K39" s="88">
        <f>SUM(K36:K38)</f>
        <v>3</v>
      </c>
      <c r="L39" s="79">
        <f>SUM(L36:L38)</f>
        <v>450400</v>
      </c>
      <c r="M39" s="88">
        <f>SUM(M36:M38)</f>
        <v>0</v>
      </c>
      <c r="N39" s="79">
        <f>SUM(N36:N38)</f>
        <v>0</v>
      </c>
      <c r="O39" s="72">
        <f t="shared" si="9"/>
        <v>44</v>
      </c>
      <c r="P39" s="52">
        <f>SUM(P36:P38)</f>
        <v>20999000</v>
      </c>
    </row>
    <row r="40" spans="2:16" s="15" customFormat="1" ht="12" x14ac:dyDescent="0.2">
      <c r="B40" s="64" t="s">
        <v>22</v>
      </c>
      <c r="C40" s="71">
        <f>'[11]Statistical Data'!C16</f>
        <v>8</v>
      </c>
      <c r="D40" s="78">
        <f>'[11]Statistical Data'!D16</f>
        <v>1462800</v>
      </c>
      <c r="E40" s="71">
        <f>'[11]Statistical Data'!E16</f>
        <v>1</v>
      </c>
      <c r="F40" s="50">
        <f>'[11]Statistical Data'!F16</f>
        <v>333500</v>
      </c>
      <c r="G40" s="87">
        <f>'[11]Statistical Data'!G16</f>
        <v>0</v>
      </c>
      <c r="H40" s="78">
        <f>'[11]Statistical Data'!H16</f>
        <v>0</v>
      </c>
      <c r="I40" s="71">
        <f>'[11]Statistical Data'!I16</f>
        <v>0</v>
      </c>
      <c r="J40" s="50">
        <f>'[11]Statistical Data'!J16</f>
        <v>0</v>
      </c>
      <c r="K40" s="87">
        <f>'[11]Statistical Data'!M16</f>
        <v>1</v>
      </c>
      <c r="L40" s="78">
        <f>'[11]Statistical Data'!N16</f>
        <v>135000</v>
      </c>
      <c r="M40" s="87">
        <f>'[11]Statistical Data'!K16</f>
        <v>0</v>
      </c>
      <c r="N40" s="78">
        <f>'[11]Statistical Data'!L16</f>
        <v>0</v>
      </c>
      <c r="O40" s="71">
        <f t="shared" si="9"/>
        <v>10</v>
      </c>
      <c r="P40" s="50">
        <f>+D40+F40+H40+J40+N40+L40</f>
        <v>1931300</v>
      </c>
    </row>
    <row r="41" spans="2:16" s="15" customFormat="1" ht="12" x14ac:dyDescent="0.2">
      <c r="B41" s="64" t="s">
        <v>23</v>
      </c>
      <c r="C41" s="71">
        <f>'[11]Statistical Data'!C17</f>
        <v>5</v>
      </c>
      <c r="D41" s="78">
        <f>'[11]Statistical Data'!D17</f>
        <v>2326900</v>
      </c>
      <c r="E41" s="71">
        <f>'[11]Statistical Data'!E17</f>
        <v>1</v>
      </c>
      <c r="F41" s="50">
        <f>'[11]Statistical Data'!F17</f>
        <v>50000</v>
      </c>
      <c r="G41" s="87">
        <f>'[11]Statistical Data'!G17</f>
        <v>3</v>
      </c>
      <c r="H41" s="78">
        <f>'[11]Statistical Data'!H17</f>
        <v>1464600</v>
      </c>
      <c r="I41" s="71">
        <f>'[11]Statistical Data'!I17</f>
        <v>2</v>
      </c>
      <c r="J41" s="50">
        <f>'[11]Statistical Data'!J17</f>
        <v>548800</v>
      </c>
      <c r="K41" s="87">
        <f>'[11]Statistical Data'!M17</f>
        <v>2</v>
      </c>
      <c r="L41" s="78">
        <f>'[11]Statistical Data'!N17</f>
        <v>283300</v>
      </c>
      <c r="M41" s="87">
        <f>'[11]Statistical Data'!K17</f>
        <v>0</v>
      </c>
      <c r="N41" s="78">
        <f>'[11]Statistical Data'!L17</f>
        <v>0</v>
      </c>
      <c r="O41" s="71">
        <f t="shared" si="9"/>
        <v>13</v>
      </c>
      <c r="P41" s="50">
        <f>+D41+F41+H41+J41+N41+L41</f>
        <v>4673600</v>
      </c>
    </row>
    <row r="42" spans="2:16" s="15" customFormat="1" ht="12" x14ac:dyDescent="0.2">
      <c r="B42" s="64" t="s">
        <v>36</v>
      </c>
      <c r="C42" s="71">
        <f>'[11]Statistical Data'!C18</f>
        <v>5</v>
      </c>
      <c r="D42" s="78">
        <f>'[11]Statistical Data'!D18</f>
        <v>1126600</v>
      </c>
      <c r="E42" s="71">
        <f>'[11]Statistical Data'!E18</f>
        <v>3</v>
      </c>
      <c r="F42" s="50">
        <f>'[11]Statistical Data'!F18</f>
        <v>2206300</v>
      </c>
      <c r="G42" s="87">
        <f>'[11]Statistical Data'!G18</f>
        <v>0</v>
      </c>
      <c r="H42" s="78">
        <f>'[11]Statistical Data'!H18</f>
        <v>0</v>
      </c>
      <c r="I42" s="71">
        <f>'[11]Statistical Data'!I18</f>
        <v>0</v>
      </c>
      <c r="J42" s="50">
        <f>'[11]Statistical Data'!J18</f>
        <v>0</v>
      </c>
      <c r="K42" s="87">
        <f>'[11]Statistical Data'!M18</f>
        <v>1</v>
      </c>
      <c r="L42" s="78">
        <f>'[11]Statistical Data'!N18</f>
        <v>80000</v>
      </c>
      <c r="M42" s="87">
        <f>'[11]Statistical Data'!K18</f>
        <v>0</v>
      </c>
      <c r="N42" s="78">
        <f>'[11]Statistical Data'!L18</f>
        <v>0</v>
      </c>
      <c r="O42" s="71">
        <f t="shared" si="9"/>
        <v>9</v>
      </c>
      <c r="P42" s="50">
        <f>+D42+F42+H42+J42+N42+L42</f>
        <v>3412900</v>
      </c>
    </row>
    <row r="43" spans="2:16" ht="12" x14ac:dyDescent="0.2">
      <c r="B43" s="51" t="s">
        <v>24</v>
      </c>
      <c r="C43" s="72">
        <f t="shared" ref="C43:J43" si="11">SUM(C40:C42)</f>
        <v>18</v>
      </c>
      <c r="D43" s="79">
        <f t="shared" si="11"/>
        <v>4916300</v>
      </c>
      <c r="E43" s="72">
        <f t="shared" si="11"/>
        <v>5</v>
      </c>
      <c r="F43" s="52">
        <f t="shared" si="11"/>
        <v>2589800</v>
      </c>
      <c r="G43" s="88">
        <f t="shared" si="11"/>
        <v>3</v>
      </c>
      <c r="H43" s="79">
        <f t="shared" si="11"/>
        <v>1464600</v>
      </c>
      <c r="I43" s="72">
        <f t="shared" si="11"/>
        <v>2</v>
      </c>
      <c r="J43" s="52">
        <f t="shared" si="11"/>
        <v>548800</v>
      </c>
      <c r="K43" s="88">
        <f>SUM(K40:K42)</f>
        <v>4</v>
      </c>
      <c r="L43" s="79">
        <f>SUM(L40:L42)</f>
        <v>498300</v>
      </c>
      <c r="M43" s="88">
        <f>SUM(M40:M42)</f>
        <v>0</v>
      </c>
      <c r="N43" s="79">
        <f>SUM(N40:N42)</f>
        <v>0</v>
      </c>
      <c r="O43" s="72">
        <f t="shared" si="9"/>
        <v>32</v>
      </c>
      <c r="P43" s="52">
        <f>SUM(P40:P42)</f>
        <v>10017800</v>
      </c>
    </row>
    <row r="44" spans="2:16" s="15" customFormat="1" ht="12" x14ac:dyDescent="0.2">
      <c r="B44" s="64" t="s">
        <v>25</v>
      </c>
      <c r="C44" s="71">
        <f>'[11]Statistical Data'!C20</f>
        <v>6</v>
      </c>
      <c r="D44" s="78">
        <f>'[11]Statistical Data'!D20</f>
        <v>2831400</v>
      </c>
      <c r="E44" s="71">
        <f>'[11]Statistical Data'!E20</f>
        <v>0</v>
      </c>
      <c r="F44" s="50">
        <f>'[11]Statistical Data'!F20</f>
        <v>0</v>
      </c>
      <c r="G44" s="87">
        <f>'[11]Statistical Data'!G20</f>
        <v>0</v>
      </c>
      <c r="H44" s="78">
        <f>'[11]Statistical Data'!H20</f>
        <v>0</v>
      </c>
      <c r="I44" s="71">
        <f>'[11]Statistical Data'!I20</f>
        <v>0</v>
      </c>
      <c r="J44" s="50">
        <f>'[11]Statistical Data'!J20</f>
        <v>0</v>
      </c>
      <c r="K44" s="87">
        <f>'[11]Statistical Data'!M20</f>
        <v>4</v>
      </c>
      <c r="L44" s="78">
        <f>'[11]Statistical Data'!N20</f>
        <v>1433700</v>
      </c>
      <c r="M44" s="87">
        <f>'[11]Statistical Data'!K20</f>
        <v>0</v>
      </c>
      <c r="N44" s="78">
        <f>'[11]Statistical Data'!L20</f>
        <v>0</v>
      </c>
      <c r="O44" s="71">
        <f t="shared" si="9"/>
        <v>10</v>
      </c>
      <c r="P44" s="50">
        <f>+D44+F44+H44+J44+N44+L44</f>
        <v>4265100</v>
      </c>
    </row>
    <row r="45" spans="2:16" s="15" customFormat="1" ht="12" x14ac:dyDescent="0.2">
      <c r="B45" s="64" t="s">
        <v>26</v>
      </c>
      <c r="C45" s="71">
        <f>'[11]Statistical Data'!C21</f>
        <v>10</v>
      </c>
      <c r="D45" s="78">
        <f>'[11]Statistical Data'!D21</f>
        <v>4030700</v>
      </c>
      <c r="E45" s="71">
        <f>'[11]Statistical Data'!E21</f>
        <v>1</v>
      </c>
      <c r="F45" s="50">
        <f>'[11]Statistical Data'!F21</f>
        <v>1625500</v>
      </c>
      <c r="G45" s="87">
        <f>'[11]Statistical Data'!G21</f>
        <v>0</v>
      </c>
      <c r="H45" s="78">
        <f>'[11]Statistical Data'!H21</f>
        <v>0</v>
      </c>
      <c r="I45" s="71">
        <f>'[11]Statistical Data'!I21</f>
        <v>1</v>
      </c>
      <c r="J45" s="50">
        <f>'[11]Statistical Data'!J21</f>
        <v>64000</v>
      </c>
      <c r="K45" s="87">
        <f>'[11]Statistical Data'!M21</f>
        <v>0</v>
      </c>
      <c r="L45" s="78">
        <f>'[11]Statistical Data'!N21</f>
        <v>0</v>
      </c>
      <c r="M45" s="87">
        <f>'[11]Statistical Data'!K21</f>
        <v>0</v>
      </c>
      <c r="N45" s="78">
        <f>'[11]Statistical Data'!L21</f>
        <v>0</v>
      </c>
      <c r="O45" s="71">
        <f t="shared" si="9"/>
        <v>12</v>
      </c>
      <c r="P45" s="50">
        <f>+D45+F45+H45+J45+N45+L45</f>
        <v>5720200</v>
      </c>
    </row>
    <row r="46" spans="2:16" s="15" customFormat="1" ht="12" x14ac:dyDescent="0.2">
      <c r="B46" s="64" t="s">
        <v>27</v>
      </c>
      <c r="C46" s="71">
        <f>'[11]Statistical Data'!C22</f>
        <v>7</v>
      </c>
      <c r="D46" s="78">
        <f>'[11]Statistical Data'!D22</f>
        <v>3134300</v>
      </c>
      <c r="E46" s="71">
        <f>'[11]Statistical Data'!E22</f>
        <v>1</v>
      </c>
      <c r="F46" s="50">
        <f>'[11]Statistical Data'!F22</f>
        <v>492000</v>
      </c>
      <c r="G46" s="87">
        <f>'[11]Statistical Data'!G22</f>
        <v>0</v>
      </c>
      <c r="H46" s="78">
        <f>'[11]Statistical Data'!H22</f>
        <v>0</v>
      </c>
      <c r="I46" s="71">
        <f>'[11]Statistical Data'!I22</f>
        <v>2</v>
      </c>
      <c r="J46" s="50">
        <f>'[11]Statistical Data'!J22</f>
        <v>2312300</v>
      </c>
      <c r="K46" s="87">
        <f>'[11]Statistical Data'!M22</f>
        <v>1</v>
      </c>
      <c r="L46" s="78">
        <f>'[11]Statistical Data'!N22</f>
        <v>39600</v>
      </c>
      <c r="M46" s="87">
        <f>'[11]Statistical Data'!K22</f>
        <v>0</v>
      </c>
      <c r="N46" s="78">
        <f>'[11]Statistical Data'!L22</f>
        <v>0</v>
      </c>
      <c r="O46" s="71">
        <f t="shared" si="9"/>
        <v>11</v>
      </c>
      <c r="P46" s="50">
        <f>+D46+F46+H46+J46+N46+L46</f>
        <v>5978200</v>
      </c>
    </row>
    <row r="47" spans="2:16" s="9" customFormat="1" ht="12" x14ac:dyDescent="0.2">
      <c r="B47" s="51" t="s">
        <v>28</v>
      </c>
      <c r="C47" s="72">
        <f t="shared" ref="C47:J47" si="12">SUM(C44:C46)</f>
        <v>23</v>
      </c>
      <c r="D47" s="79">
        <f>SUM(D44:D46)</f>
        <v>9996400</v>
      </c>
      <c r="E47" s="72">
        <f t="shared" si="12"/>
        <v>2</v>
      </c>
      <c r="F47" s="52">
        <f t="shared" si="12"/>
        <v>2117500</v>
      </c>
      <c r="G47" s="88">
        <f>SUM(G44:G46)</f>
        <v>0</v>
      </c>
      <c r="H47" s="79">
        <f t="shared" si="12"/>
        <v>0</v>
      </c>
      <c r="I47" s="72">
        <f t="shared" si="12"/>
        <v>3</v>
      </c>
      <c r="J47" s="52">
        <f t="shared" si="12"/>
        <v>2376300</v>
      </c>
      <c r="K47" s="88">
        <f>SUM(K44:K46)</f>
        <v>5</v>
      </c>
      <c r="L47" s="79">
        <f>SUM(L44:L46)</f>
        <v>1473300</v>
      </c>
      <c r="M47" s="88">
        <f>SUM(M44:M46)</f>
        <v>0</v>
      </c>
      <c r="N47" s="79">
        <f>SUM(N44:N46)</f>
        <v>0</v>
      </c>
      <c r="O47" s="72">
        <f t="shared" si="9"/>
        <v>33</v>
      </c>
      <c r="P47" s="52">
        <f>SUM(P44:P46)</f>
        <v>15963500</v>
      </c>
    </row>
    <row r="48" spans="2:16" s="15" customFormat="1" ht="12" x14ac:dyDescent="0.2">
      <c r="B48" s="45" t="s">
        <v>35</v>
      </c>
      <c r="C48" s="73">
        <f t="shared" ref="C48:J48" si="13">+C35+C39+C43+C47</f>
        <v>89</v>
      </c>
      <c r="D48" s="80">
        <f t="shared" si="13"/>
        <v>31235100</v>
      </c>
      <c r="E48" s="73">
        <f t="shared" si="13"/>
        <v>20</v>
      </c>
      <c r="F48" s="53">
        <f t="shared" si="13"/>
        <v>9938800</v>
      </c>
      <c r="G48" s="89">
        <f t="shared" si="13"/>
        <v>8</v>
      </c>
      <c r="H48" s="80">
        <f t="shared" si="13"/>
        <v>8974000</v>
      </c>
      <c r="I48" s="73">
        <f t="shared" si="13"/>
        <v>16</v>
      </c>
      <c r="J48" s="53">
        <f t="shared" si="13"/>
        <v>8663000</v>
      </c>
      <c r="K48" s="89">
        <f>+K35+K39+K43+K47</f>
        <v>15</v>
      </c>
      <c r="L48" s="80">
        <f>+L35+L39+L43+L47</f>
        <v>4174800</v>
      </c>
      <c r="M48" s="89">
        <f>+M35+M39+M43+M47</f>
        <v>1</v>
      </c>
      <c r="N48" s="80">
        <f>+N35+N39+N43+N47</f>
        <v>600000</v>
      </c>
      <c r="O48" s="73">
        <f t="shared" si="9"/>
        <v>149</v>
      </c>
      <c r="P48" s="53">
        <f>P35+P39+P43+P47</f>
        <v>63585700</v>
      </c>
    </row>
    <row r="49" spans="2:16" s="15" customFormat="1" x14ac:dyDescent="0.2">
      <c r="B49" s="54"/>
      <c r="C49" s="54"/>
      <c r="D49" s="54"/>
      <c r="E49" s="54"/>
      <c r="F49" s="54"/>
      <c r="G49" s="68"/>
      <c r="H49" s="54"/>
      <c r="I49" s="68"/>
      <c r="J49" s="54"/>
      <c r="K49" s="68"/>
      <c r="L49" s="54"/>
      <c r="M49" s="68"/>
      <c r="N49" s="54"/>
      <c r="O49" s="68"/>
      <c r="P49" s="54"/>
    </row>
    <row r="50" spans="2:16" s="15" customFormat="1" ht="12" x14ac:dyDescent="0.2">
      <c r="B50" s="57" t="s">
        <v>59</v>
      </c>
      <c r="C50" s="70"/>
      <c r="D50" s="82"/>
      <c r="E50" s="70"/>
      <c r="F50" s="74"/>
      <c r="G50" s="91"/>
      <c r="H50" s="82"/>
      <c r="I50" s="70"/>
      <c r="J50" s="74"/>
      <c r="K50" s="91"/>
      <c r="L50" s="82"/>
      <c r="M50" s="91"/>
      <c r="N50" s="82"/>
      <c r="O50" s="70"/>
      <c r="P50" s="74"/>
    </row>
    <row r="51" spans="2:16" s="15" customFormat="1" ht="12" x14ac:dyDescent="0.2">
      <c r="B51" s="64" t="s">
        <v>14</v>
      </c>
      <c r="C51" s="50">
        <f>+IF(C13=0,0,((C32-C13)/C13*100))</f>
        <v>-20</v>
      </c>
      <c r="D51" s="78">
        <f t="shared" ref="D51:P51" si="14">+IF(D13=0,0,((D32-D13)/D13*100))</f>
        <v>-43.29993620773763</v>
      </c>
      <c r="E51" s="50">
        <f t="shared" si="14"/>
        <v>-100</v>
      </c>
      <c r="F51" s="50">
        <f t="shared" si="14"/>
        <v>-100</v>
      </c>
      <c r="G51" s="92">
        <f t="shared" si="14"/>
        <v>0</v>
      </c>
      <c r="H51" s="78">
        <f t="shared" si="14"/>
        <v>0</v>
      </c>
      <c r="I51" s="50">
        <f t="shared" si="14"/>
        <v>0</v>
      </c>
      <c r="J51" s="50">
        <f t="shared" si="14"/>
        <v>113.74586679263108</v>
      </c>
      <c r="K51" s="92">
        <f t="shared" ref="K51:N67" si="15">+IF(K13=0,0,((K32-K13)/K13*100))</f>
        <v>0</v>
      </c>
      <c r="L51" s="78">
        <f t="shared" si="15"/>
        <v>0</v>
      </c>
      <c r="M51" s="92">
        <f t="shared" si="15"/>
        <v>0</v>
      </c>
      <c r="N51" s="78">
        <f t="shared" si="15"/>
        <v>0</v>
      </c>
      <c r="O51" s="50">
        <f t="shared" si="14"/>
        <v>-14.285714285714285</v>
      </c>
      <c r="P51" s="50">
        <f t="shared" si="14"/>
        <v>-46.093259367804066</v>
      </c>
    </row>
    <row r="52" spans="2:16" s="15" customFormat="1" ht="12" x14ac:dyDescent="0.2">
      <c r="B52" s="64" t="s">
        <v>15</v>
      </c>
      <c r="C52" s="50">
        <f t="shared" ref="C52:P67" si="16">+IF(C14=0,0,((C33-C14)/C14*100))</f>
        <v>225</v>
      </c>
      <c r="D52" s="78">
        <f t="shared" si="16"/>
        <v>98.58867722028441</v>
      </c>
      <c r="E52" s="50">
        <f t="shared" si="16"/>
        <v>-60</v>
      </c>
      <c r="F52" s="50">
        <f t="shared" si="16"/>
        <v>-1.2406697599354448</v>
      </c>
      <c r="G52" s="92">
        <f t="shared" si="16"/>
        <v>0</v>
      </c>
      <c r="H52" s="78">
        <f t="shared" si="16"/>
        <v>0</v>
      </c>
      <c r="I52" s="50">
        <f t="shared" si="16"/>
        <v>-33.333333333333329</v>
      </c>
      <c r="J52" s="50">
        <f t="shared" si="16"/>
        <v>843.89561975768879</v>
      </c>
      <c r="K52" s="92">
        <f t="shared" si="15"/>
        <v>0</v>
      </c>
      <c r="L52" s="78">
        <f t="shared" si="15"/>
        <v>0</v>
      </c>
      <c r="M52" s="92">
        <f t="shared" si="15"/>
        <v>-100</v>
      </c>
      <c r="N52" s="78">
        <f t="shared" si="15"/>
        <v>-100</v>
      </c>
      <c r="O52" s="50">
        <f t="shared" si="16"/>
        <v>38.461538461538467</v>
      </c>
      <c r="P52" s="50">
        <f t="shared" si="16"/>
        <v>90.801788113012265</v>
      </c>
    </row>
    <row r="53" spans="2:16" s="15" customFormat="1" ht="12" x14ac:dyDescent="0.2">
      <c r="B53" s="64" t="s">
        <v>16</v>
      </c>
      <c r="C53" s="50">
        <f t="shared" si="16"/>
        <v>-7.6923076923076925</v>
      </c>
      <c r="D53" s="78">
        <f t="shared" si="16"/>
        <v>-22.351005484460696</v>
      </c>
      <c r="E53" s="50">
        <f t="shared" si="16"/>
        <v>-100</v>
      </c>
      <c r="F53" s="50">
        <f t="shared" si="16"/>
        <v>-100</v>
      </c>
      <c r="G53" s="92">
        <f t="shared" si="16"/>
        <v>0</v>
      </c>
      <c r="H53" s="78">
        <f t="shared" si="16"/>
        <v>0</v>
      </c>
      <c r="I53" s="50">
        <f t="shared" si="16"/>
        <v>0</v>
      </c>
      <c r="J53" s="50">
        <f t="shared" si="16"/>
        <v>0</v>
      </c>
      <c r="K53" s="92">
        <f t="shared" si="15"/>
        <v>0</v>
      </c>
      <c r="L53" s="78">
        <f t="shared" si="15"/>
        <v>0</v>
      </c>
      <c r="M53" s="92">
        <f t="shared" si="15"/>
        <v>0</v>
      </c>
      <c r="N53" s="78">
        <f t="shared" si="15"/>
        <v>521.11801242236027</v>
      </c>
      <c r="O53" s="50">
        <f t="shared" si="16"/>
        <v>-5.8823529411764701</v>
      </c>
      <c r="P53" s="50">
        <f t="shared" si="16"/>
        <v>-16.100038520251665</v>
      </c>
    </row>
    <row r="54" spans="2:16" s="15" customFormat="1" ht="12" x14ac:dyDescent="0.2">
      <c r="B54" s="51" t="s">
        <v>17</v>
      </c>
      <c r="C54" s="67">
        <f t="shared" si="16"/>
        <v>31.818181818181817</v>
      </c>
      <c r="D54" s="83">
        <f t="shared" si="16"/>
        <v>-5.393863018082893</v>
      </c>
      <c r="E54" s="67">
        <f t="shared" si="16"/>
        <v>-77.777777777777786</v>
      </c>
      <c r="F54" s="67">
        <f t="shared" si="16"/>
        <v>-55.195057773710097</v>
      </c>
      <c r="G54" s="93">
        <f t="shared" si="16"/>
        <v>0</v>
      </c>
      <c r="H54" s="83">
        <f t="shared" si="16"/>
        <v>0</v>
      </c>
      <c r="I54" s="67">
        <f t="shared" si="16"/>
        <v>0</v>
      </c>
      <c r="J54" s="67">
        <f t="shared" si="16"/>
        <v>542.43490499648135</v>
      </c>
      <c r="K54" s="93">
        <f t="shared" si="15"/>
        <v>0</v>
      </c>
      <c r="L54" s="83">
        <f t="shared" si="15"/>
        <v>0</v>
      </c>
      <c r="M54" s="93">
        <f t="shared" si="15"/>
        <v>-50</v>
      </c>
      <c r="N54" s="83">
        <f t="shared" si="15"/>
        <v>4.0221914008321775</v>
      </c>
      <c r="O54" s="67">
        <f t="shared" si="16"/>
        <v>8.1081081081081088</v>
      </c>
      <c r="P54" s="67">
        <f t="shared" si="16"/>
        <v>8.0236794171220396</v>
      </c>
    </row>
    <row r="55" spans="2:16" s="15" customFormat="1" ht="12" x14ac:dyDescent="0.2">
      <c r="B55" s="64" t="s">
        <v>18</v>
      </c>
      <c r="C55" s="50">
        <f t="shared" si="16"/>
        <v>-64.705882352941174</v>
      </c>
      <c r="D55" s="78">
        <f t="shared" si="16"/>
        <v>-59.632262695968322</v>
      </c>
      <c r="E55" s="50">
        <f t="shared" si="16"/>
        <v>25</v>
      </c>
      <c r="F55" s="50">
        <f t="shared" si="16"/>
        <v>-33.066026410564227</v>
      </c>
      <c r="G55" s="92">
        <f t="shared" si="16"/>
        <v>-100</v>
      </c>
      <c r="H55" s="78">
        <f t="shared" si="16"/>
        <v>-100</v>
      </c>
      <c r="I55" s="50">
        <f t="shared" si="16"/>
        <v>100</v>
      </c>
      <c r="J55" s="50">
        <f t="shared" si="16"/>
        <v>317.77173913043481</v>
      </c>
      <c r="K55" s="92">
        <f t="shared" si="15"/>
        <v>0</v>
      </c>
      <c r="L55" s="78">
        <f t="shared" si="15"/>
        <v>0</v>
      </c>
      <c r="M55" s="92">
        <f t="shared" si="15"/>
        <v>-100</v>
      </c>
      <c r="N55" s="78">
        <f t="shared" si="15"/>
        <v>-100</v>
      </c>
      <c r="O55" s="50">
        <f t="shared" si="16"/>
        <v>-45.833333333333329</v>
      </c>
      <c r="P55" s="50">
        <f t="shared" si="16"/>
        <v>-43.279117049085102</v>
      </c>
    </row>
    <row r="56" spans="2:16" s="15" customFormat="1" ht="12" x14ac:dyDescent="0.2">
      <c r="B56" s="64" t="s">
        <v>19</v>
      </c>
      <c r="C56" s="50">
        <f t="shared" si="16"/>
        <v>-50</v>
      </c>
      <c r="D56" s="78">
        <f t="shared" si="16"/>
        <v>-40.932155457799702</v>
      </c>
      <c r="E56" s="50">
        <f t="shared" si="16"/>
        <v>0</v>
      </c>
      <c r="F56" s="50">
        <f t="shared" si="16"/>
        <v>0</v>
      </c>
      <c r="G56" s="92">
        <f t="shared" si="16"/>
        <v>0</v>
      </c>
      <c r="H56" s="78">
        <f t="shared" si="16"/>
        <v>0</v>
      </c>
      <c r="I56" s="50">
        <f t="shared" si="16"/>
        <v>200</v>
      </c>
      <c r="J56" s="50">
        <f t="shared" si="16"/>
        <v>93.574806782789238</v>
      </c>
      <c r="K56" s="92">
        <f t="shared" si="15"/>
        <v>100</v>
      </c>
      <c r="L56" s="78">
        <f t="shared" si="15"/>
        <v>0</v>
      </c>
      <c r="M56" s="92">
        <f t="shared" si="15"/>
        <v>0</v>
      </c>
      <c r="N56" s="78">
        <f t="shared" si="15"/>
        <v>0</v>
      </c>
      <c r="O56" s="50">
        <f t="shared" si="16"/>
        <v>50</v>
      </c>
      <c r="P56" s="50">
        <f t="shared" si="16"/>
        <v>239.99173485965156</v>
      </c>
    </row>
    <row r="57" spans="2:16" s="15" customFormat="1" ht="12" x14ac:dyDescent="0.2">
      <c r="B57" s="64" t="s">
        <v>20</v>
      </c>
      <c r="C57" s="50">
        <f t="shared" si="16"/>
        <v>12.5</v>
      </c>
      <c r="D57" s="78">
        <f t="shared" si="16"/>
        <v>33.486552195714935</v>
      </c>
      <c r="E57" s="50">
        <f t="shared" si="16"/>
        <v>0</v>
      </c>
      <c r="F57" s="50">
        <f t="shared" si="16"/>
        <v>0</v>
      </c>
      <c r="G57" s="92">
        <f t="shared" si="16"/>
        <v>0</v>
      </c>
      <c r="H57" s="78">
        <f t="shared" si="16"/>
        <v>0</v>
      </c>
      <c r="I57" s="50">
        <f t="shared" si="16"/>
        <v>0</v>
      </c>
      <c r="J57" s="50">
        <f t="shared" si="16"/>
        <v>185.3305785123967</v>
      </c>
      <c r="K57" s="92">
        <f t="shared" si="15"/>
        <v>0</v>
      </c>
      <c r="L57" s="78">
        <f t="shared" si="15"/>
        <v>0</v>
      </c>
      <c r="M57" s="92">
        <f t="shared" si="15"/>
        <v>0</v>
      </c>
      <c r="N57" s="78">
        <f t="shared" si="15"/>
        <v>0</v>
      </c>
      <c r="O57" s="50">
        <f t="shared" si="16"/>
        <v>60</v>
      </c>
      <c r="P57" s="50">
        <f t="shared" si="16"/>
        <v>73.411181882519458</v>
      </c>
    </row>
    <row r="58" spans="2:16" s="15" customFormat="1" ht="12" x14ac:dyDescent="0.2">
      <c r="B58" s="51" t="s">
        <v>21</v>
      </c>
      <c r="C58" s="67">
        <f t="shared" si="16"/>
        <v>-42.424242424242422</v>
      </c>
      <c r="D58" s="83">
        <f t="shared" si="16"/>
        <v>-29.02442268033348</v>
      </c>
      <c r="E58" s="67">
        <f t="shared" si="16"/>
        <v>175</v>
      </c>
      <c r="F58" s="67">
        <f t="shared" si="16"/>
        <v>57.181272509003598</v>
      </c>
      <c r="G58" s="93">
        <f t="shared" si="16"/>
        <v>300</v>
      </c>
      <c r="H58" s="83">
        <f t="shared" si="16"/>
        <v>6688.2783882783879</v>
      </c>
      <c r="I58" s="67">
        <f t="shared" si="16"/>
        <v>75</v>
      </c>
      <c r="J58" s="67">
        <f t="shared" si="16"/>
        <v>140.99638408999598</v>
      </c>
      <c r="K58" s="93">
        <f t="shared" si="15"/>
        <v>200</v>
      </c>
      <c r="L58" s="83">
        <f t="shared" si="15"/>
        <v>0</v>
      </c>
      <c r="M58" s="93">
        <f t="shared" si="15"/>
        <v>-100</v>
      </c>
      <c r="N58" s="83">
        <f t="shared" si="15"/>
        <v>-100</v>
      </c>
      <c r="O58" s="67">
        <f t="shared" si="16"/>
        <v>0</v>
      </c>
      <c r="P58" s="67">
        <f t="shared" si="16"/>
        <v>57.909230354366692</v>
      </c>
    </row>
    <row r="59" spans="2:16" s="15" customFormat="1" ht="12" x14ac:dyDescent="0.2">
      <c r="B59" s="64" t="s">
        <v>22</v>
      </c>
      <c r="C59" s="50">
        <f t="shared" si="16"/>
        <v>-27.27272727272727</v>
      </c>
      <c r="D59" s="78">
        <f t="shared" si="16"/>
        <v>-58.742067409392185</v>
      </c>
      <c r="E59" s="50">
        <f t="shared" si="16"/>
        <v>-50</v>
      </c>
      <c r="F59" s="50">
        <f t="shared" si="16"/>
        <v>-81.680856907443015</v>
      </c>
      <c r="G59" s="92">
        <f t="shared" si="16"/>
        <v>-100</v>
      </c>
      <c r="H59" s="78">
        <f t="shared" si="16"/>
        <v>-100</v>
      </c>
      <c r="I59" s="50">
        <f t="shared" si="16"/>
        <v>-100</v>
      </c>
      <c r="J59" s="50">
        <f t="shared" si="16"/>
        <v>-100</v>
      </c>
      <c r="K59" s="92">
        <f t="shared" si="15"/>
        <v>0</v>
      </c>
      <c r="L59" s="78">
        <f t="shared" si="15"/>
        <v>0</v>
      </c>
      <c r="M59" s="92">
        <f t="shared" si="15"/>
        <v>0</v>
      </c>
      <c r="N59" s="78">
        <f t="shared" si="15"/>
        <v>0</v>
      </c>
      <c r="O59" s="50">
        <f t="shared" si="16"/>
        <v>-44.444444444444443</v>
      </c>
      <c r="P59" s="50">
        <f t="shared" si="16"/>
        <v>-74.211165858804364</v>
      </c>
    </row>
    <row r="60" spans="2:16" s="15" customFormat="1" ht="12" x14ac:dyDescent="0.2">
      <c r="B60" s="64" t="s">
        <v>23</v>
      </c>
      <c r="C60" s="50">
        <f t="shared" si="16"/>
        <v>-37.5</v>
      </c>
      <c r="D60" s="78">
        <f t="shared" si="16"/>
        <v>-16.484818031727801</v>
      </c>
      <c r="E60" s="50">
        <f t="shared" si="16"/>
        <v>0</v>
      </c>
      <c r="F60" s="50">
        <f t="shared" si="16"/>
        <v>-90.805443177638836</v>
      </c>
      <c r="G60" s="92">
        <f t="shared" si="16"/>
        <v>0</v>
      </c>
      <c r="H60" s="78">
        <f t="shared" si="16"/>
        <v>0</v>
      </c>
      <c r="I60" s="50">
        <f t="shared" si="16"/>
        <v>100</v>
      </c>
      <c r="J60" s="50">
        <f t="shared" si="16"/>
        <v>257.29166666666663</v>
      </c>
      <c r="K60" s="92">
        <f t="shared" si="15"/>
        <v>0</v>
      </c>
      <c r="L60" s="78">
        <f t="shared" si="15"/>
        <v>0</v>
      </c>
      <c r="M60" s="92">
        <f t="shared" si="15"/>
        <v>0</v>
      </c>
      <c r="N60" s="78">
        <f t="shared" si="15"/>
        <v>0</v>
      </c>
      <c r="O60" s="50">
        <f t="shared" si="16"/>
        <v>30</v>
      </c>
      <c r="P60" s="50">
        <f t="shared" si="16"/>
        <v>34.16006430129751</v>
      </c>
    </row>
    <row r="61" spans="2:16" s="15" customFormat="1" ht="12" x14ac:dyDescent="0.2">
      <c r="B61" s="64" t="s">
        <v>36</v>
      </c>
      <c r="C61" s="50">
        <f t="shared" si="16"/>
        <v>-16.666666666666664</v>
      </c>
      <c r="D61" s="78">
        <f t="shared" si="16"/>
        <v>-10.820865985909919</v>
      </c>
      <c r="E61" s="50">
        <f t="shared" si="16"/>
        <v>0</v>
      </c>
      <c r="F61" s="50">
        <f t="shared" si="16"/>
        <v>253.51706457298508</v>
      </c>
      <c r="G61" s="92">
        <f t="shared" si="16"/>
        <v>0</v>
      </c>
      <c r="H61" s="78">
        <f t="shared" si="16"/>
        <v>0</v>
      </c>
      <c r="I61" s="50">
        <f t="shared" si="16"/>
        <v>0</v>
      </c>
      <c r="J61" s="50">
        <f t="shared" si="16"/>
        <v>0</v>
      </c>
      <c r="K61" s="92">
        <f t="shared" si="15"/>
        <v>0</v>
      </c>
      <c r="L61" s="78">
        <f t="shared" si="15"/>
        <v>0</v>
      </c>
      <c r="M61" s="92">
        <f t="shared" si="15"/>
        <v>0</v>
      </c>
      <c r="N61" s="78">
        <f t="shared" si="15"/>
        <v>0</v>
      </c>
      <c r="O61" s="50">
        <f t="shared" si="16"/>
        <v>-10</v>
      </c>
      <c r="P61" s="50">
        <f t="shared" si="16"/>
        <v>80.825474197308466</v>
      </c>
    </row>
    <row r="62" spans="2:16" s="15" customFormat="1" ht="12" x14ac:dyDescent="0.2">
      <c r="B62" s="51" t="s">
        <v>24</v>
      </c>
      <c r="C62" s="67">
        <f t="shared" si="16"/>
        <v>-28.000000000000004</v>
      </c>
      <c r="D62" s="83">
        <f t="shared" si="16"/>
        <v>-35.269256089532583</v>
      </c>
      <c r="E62" s="67">
        <f t="shared" si="16"/>
        <v>-16.666666666666664</v>
      </c>
      <c r="F62" s="67">
        <f t="shared" si="16"/>
        <v>-13.338241199303974</v>
      </c>
      <c r="G62" s="93">
        <f t="shared" si="16"/>
        <v>-25</v>
      </c>
      <c r="H62" s="83">
        <f t="shared" si="16"/>
        <v>30.430136254341438</v>
      </c>
      <c r="I62" s="67">
        <f t="shared" si="16"/>
        <v>0</v>
      </c>
      <c r="J62" s="67">
        <f t="shared" si="16"/>
        <v>-52.427184466019419</v>
      </c>
      <c r="K62" s="93">
        <f t="shared" si="15"/>
        <v>300</v>
      </c>
      <c r="L62" s="83">
        <f t="shared" si="15"/>
        <v>0</v>
      </c>
      <c r="M62" s="93">
        <f t="shared" si="15"/>
        <v>0</v>
      </c>
      <c r="N62" s="83">
        <f t="shared" si="15"/>
        <v>0</v>
      </c>
      <c r="O62" s="67">
        <f t="shared" si="16"/>
        <v>-15.789473684210526</v>
      </c>
      <c r="P62" s="67">
        <f t="shared" si="16"/>
        <v>-22.100482896445538</v>
      </c>
    </row>
    <row r="63" spans="2:16" s="15" customFormat="1" ht="12" x14ac:dyDescent="0.2">
      <c r="B63" s="64" t="s">
        <v>25</v>
      </c>
      <c r="C63" s="50">
        <f t="shared" si="16"/>
        <v>-25</v>
      </c>
      <c r="D63" s="78">
        <f t="shared" si="16"/>
        <v>25.333097251117703</v>
      </c>
      <c r="E63" s="50">
        <f t="shared" si="16"/>
        <v>-100</v>
      </c>
      <c r="F63" s="50">
        <f t="shared" si="16"/>
        <v>-100</v>
      </c>
      <c r="G63" s="92">
        <f t="shared" si="16"/>
        <v>0</v>
      </c>
      <c r="H63" s="78">
        <f t="shared" si="16"/>
        <v>0</v>
      </c>
      <c r="I63" s="50">
        <f t="shared" si="16"/>
        <v>-100</v>
      </c>
      <c r="J63" s="50">
        <f t="shared" si="16"/>
        <v>-100</v>
      </c>
      <c r="K63" s="92">
        <f t="shared" si="15"/>
        <v>0</v>
      </c>
      <c r="L63" s="78">
        <f t="shared" si="15"/>
        <v>0</v>
      </c>
      <c r="M63" s="92">
        <f t="shared" si="15"/>
        <v>0</v>
      </c>
      <c r="N63" s="78">
        <f t="shared" si="15"/>
        <v>0</v>
      </c>
      <c r="O63" s="50">
        <f t="shared" si="16"/>
        <v>-16.666666666666664</v>
      </c>
      <c r="P63" s="50">
        <f t="shared" si="16"/>
        <v>61.777423759672281</v>
      </c>
    </row>
    <row r="64" spans="2:16" s="15" customFormat="1" ht="12" x14ac:dyDescent="0.2">
      <c r="B64" s="64" t="s">
        <v>26</v>
      </c>
      <c r="C64" s="50">
        <f t="shared" si="16"/>
        <v>11.111111111111111</v>
      </c>
      <c r="D64" s="78">
        <f t="shared" si="16"/>
        <v>59.199291587442893</v>
      </c>
      <c r="E64" s="50">
        <f t="shared" si="16"/>
        <v>0</v>
      </c>
      <c r="F64" s="50">
        <f t="shared" si="16"/>
        <v>295.69133398247322</v>
      </c>
      <c r="G64" s="92">
        <f t="shared" si="16"/>
        <v>-100</v>
      </c>
      <c r="H64" s="78">
        <f t="shared" si="16"/>
        <v>-100</v>
      </c>
      <c r="I64" s="50">
        <f t="shared" si="16"/>
        <v>-50</v>
      </c>
      <c r="J64" s="50">
        <f t="shared" si="16"/>
        <v>-61.85935637663885</v>
      </c>
      <c r="K64" s="92">
        <f t="shared" si="15"/>
        <v>0</v>
      </c>
      <c r="L64" s="78">
        <f t="shared" si="15"/>
        <v>0</v>
      </c>
      <c r="M64" s="92">
        <f t="shared" si="15"/>
        <v>0</v>
      </c>
      <c r="N64" s="78">
        <f t="shared" si="15"/>
        <v>0</v>
      </c>
      <c r="O64" s="50">
        <f t="shared" si="16"/>
        <v>-14.285714285714285</v>
      </c>
      <c r="P64" s="50">
        <f t="shared" si="16"/>
        <v>22.560184159521501</v>
      </c>
    </row>
    <row r="65" spans="1:21" s="15" customFormat="1" ht="12" x14ac:dyDescent="0.2">
      <c r="B65" s="64" t="s">
        <v>27</v>
      </c>
      <c r="C65" s="50">
        <f t="shared" si="16"/>
        <v>-36.363636363636367</v>
      </c>
      <c r="D65" s="78">
        <f t="shared" si="16"/>
        <v>-6.5671018899421689</v>
      </c>
      <c r="E65" s="50">
        <f t="shared" si="16"/>
        <v>-80</v>
      </c>
      <c r="F65" s="50">
        <f t="shared" si="16"/>
        <v>-79.23319851795948</v>
      </c>
      <c r="G65" s="92">
        <f t="shared" si="16"/>
        <v>0</v>
      </c>
      <c r="H65" s="78">
        <f t="shared" si="16"/>
        <v>0</v>
      </c>
      <c r="I65" s="50">
        <f t="shared" si="16"/>
        <v>-33.333333333333329</v>
      </c>
      <c r="J65" s="50">
        <f t="shared" si="16"/>
        <v>0</v>
      </c>
      <c r="K65" s="92">
        <f t="shared" si="15"/>
        <v>0</v>
      </c>
      <c r="L65" s="78">
        <f t="shared" si="15"/>
        <v>0</v>
      </c>
      <c r="M65" s="92">
        <f t="shared" si="15"/>
        <v>0</v>
      </c>
      <c r="N65" s="78">
        <f t="shared" si="15"/>
        <v>0</v>
      </c>
      <c r="O65" s="50">
        <f t="shared" si="16"/>
        <v>-42.105263157894733</v>
      </c>
      <c r="P65" s="50">
        <f t="shared" si="16"/>
        <v>4.4452201574977037</v>
      </c>
    </row>
    <row r="66" spans="1:21" s="15" customFormat="1" ht="12" x14ac:dyDescent="0.2">
      <c r="B66" s="51" t="s">
        <v>28</v>
      </c>
      <c r="C66" s="67">
        <f t="shared" si="16"/>
        <v>-17.857142857142858</v>
      </c>
      <c r="D66" s="83">
        <f t="shared" si="16"/>
        <v>22.722102034016579</v>
      </c>
      <c r="E66" s="67">
        <f t="shared" si="16"/>
        <v>-71.428571428571431</v>
      </c>
      <c r="F66" s="67">
        <f t="shared" si="16"/>
        <v>-27.722136243517181</v>
      </c>
      <c r="G66" s="93">
        <f t="shared" si="16"/>
        <v>-100</v>
      </c>
      <c r="H66" s="83">
        <f t="shared" si="16"/>
        <v>-100</v>
      </c>
      <c r="I66" s="67">
        <f t="shared" si="16"/>
        <v>-62.5</v>
      </c>
      <c r="J66" s="67">
        <f t="shared" si="16"/>
        <v>500.98634294385437</v>
      </c>
      <c r="K66" s="93">
        <f t="shared" si="15"/>
        <v>0</v>
      </c>
      <c r="L66" s="83">
        <f t="shared" si="15"/>
        <v>0</v>
      </c>
      <c r="M66" s="93">
        <f t="shared" si="15"/>
        <v>0</v>
      </c>
      <c r="N66" s="83">
        <f t="shared" si="15"/>
        <v>0</v>
      </c>
      <c r="O66" s="67">
        <f t="shared" si="16"/>
        <v>-26.666666666666668</v>
      </c>
      <c r="P66" s="67">
        <f t="shared" si="16"/>
        <v>22.537655947944891</v>
      </c>
    </row>
    <row r="67" spans="1:21" s="15" customFormat="1" ht="12.75" thickBot="1" x14ac:dyDescent="0.25">
      <c r="B67" s="65" t="s">
        <v>35</v>
      </c>
      <c r="C67" s="66">
        <f t="shared" si="16"/>
        <v>-17.592592592592592</v>
      </c>
      <c r="D67" s="84">
        <f t="shared" si="16"/>
        <v>-11.787441938332799</v>
      </c>
      <c r="E67" s="66">
        <f t="shared" si="16"/>
        <v>-23.076923076923077</v>
      </c>
      <c r="F67" s="66">
        <f t="shared" si="16"/>
        <v>-19.660924935652272</v>
      </c>
      <c r="G67" s="94">
        <f t="shared" si="16"/>
        <v>14.285714285714285</v>
      </c>
      <c r="H67" s="84">
        <f t="shared" si="16"/>
        <v>221.7756104557352</v>
      </c>
      <c r="I67" s="66">
        <f t="shared" si="16"/>
        <v>-11.111111111111111</v>
      </c>
      <c r="J67" s="66">
        <f t="shared" si="16"/>
        <v>169.05397850798187</v>
      </c>
      <c r="K67" s="94">
        <f t="shared" si="15"/>
        <v>650</v>
      </c>
      <c r="L67" s="84">
        <f t="shared" si="15"/>
        <v>0</v>
      </c>
      <c r="M67" s="94">
        <f t="shared" si="15"/>
        <v>-66.666666666666657</v>
      </c>
      <c r="N67" s="84">
        <f t="shared" si="15"/>
        <v>-21.956295525494276</v>
      </c>
      <c r="O67" s="66">
        <f t="shared" si="16"/>
        <v>-9.1463414634146343</v>
      </c>
      <c r="P67" s="66">
        <f t="shared" si="16"/>
        <v>16.548109727228923</v>
      </c>
    </row>
    <row r="68" spans="1:21" s="15" customFormat="1" ht="14.25" x14ac:dyDescent="0.3">
      <c r="B68" s="16"/>
      <c r="C68" s="17"/>
      <c r="D68" s="18"/>
      <c r="E68" s="17"/>
      <c r="F68" s="18"/>
      <c r="G68" s="17"/>
      <c r="H68" s="18"/>
      <c r="I68" s="17"/>
      <c r="J68" s="18"/>
      <c r="M68" s="17"/>
      <c r="N68" s="18"/>
      <c r="O68" s="18"/>
      <c r="P68" s="18"/>
      <c r="T68" s="19"/>
      <c r="U68" s="18"/>
    </row>
    <row r="69" spans="1:21" customFormat="1" ht="12.75" x14ac:dyDescent="0.2">
      <c r="A69" s="4"/>
      <c r="B69" s="36" t="s">
        <v>47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</row>
    <row r="70" spans="1:21" s="23" customFormat="1" ht="5.25" customHeight="1" x14ac:dyDescent="0.25">
      <c r="B70" s="38"/>
      <c r="C70" s="38"/>
      <c r="D70" s="38"/>
      <c r="E70" s="38"/>
      <c r="F70" s="38"/>
      <c r="G70" s="38"/>
      <c r="H70" s="2"/>
      <c r="I70" s="2"/>
      <c r="J70" s="2"/>
    </row>
    <row r="71" spans="1:21" s="23" customFormat="1" ht="12.75" x14ac:dyDescent="0.2">
      <c r="A71" s="62"/>
      <c r="B71" s="36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</row>
    <row r="72" spans="1:21" ht="12.75" x14ac:dyDescent="0.2">
      <c r="E72" s="11"/>
      <c r="F72"/>
      <c r="G72"/>
      <c r="H72"/>
      <c r="I72"/>
      <c r="J72"/>
      <c r="K72"/>
      <c r="L72"/>
      <c r="M72"/>
      <c r="N72"/>
      <c r="O72"/>
      <c r="P72"/>
      <c r="Q72"/>
      <c r="R72"/>
    </row>
  </sheetData>
  <mergeCells count="8">
    <mergeCell ref="C9:P9"/>
    <mergeCell ref="K10:L10"/>
    <mergeCell ref="O10:P10"/>
    <mergeCell ref="C10:D10"/>
    <mergeCell ref="E10:F10"/>
    <mergeCell ref="G10:H10"/>
    <mergeCell ref="I10:J10"/>
    <mergeCell ref="M10:N10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R72"/>
  <sheetViews>
    <sheetView zoomScaleNormal="100" workbookViewId="0">
      <pane xSplit="2" ySplit="11" topLeftCell="C39" activePane="bottomRight" state="frozen"/>
      <selection pane="topRight" activeCell="C1" sqref="C1"/>
      <selection pane="bottomLeft" activeCell="A12" sqref="A12"/>
      <selection pane="bottomRight" activeCell="D14" sqref="D14"/>
    </sheetView>
  </sheetViews>
  <sheetFormatPr defaultRowHeight="11.25" x14ac:dyDescent="0.2"/>
  <cols>
    <col min="1" max="1" width="1.140625" style="2" customWidth="1"/>
    <col min="2" max="2" width="14.28515625" style="2" customWidth="1"/>
    <col min="3" max="3" width="7.42578125" style="2" bestFit="1" customWidth="1"/>
    <col min="4" max="4" width="12.5703125" style="2" bestFit="1" customWidth="1"/>
    <col min="5" max="5" width="8" style="2" bestFit="1" customWidth="1"/>
    <col min="6" max="6" width="11.7109375" style="2" bestFit="1" customWidth="1"/>
    <col min="7" max="7" width="8" style="2" bestFit="1" customWidth="1"/>
    <col min="8" max="8" width="11.7109375" style="2" bestFit="1" customWidth="1"/>
    <col min="9" max="9" width="8" style="2" bestFit="1" customWidth="1"/>
    <col min="10" max="10" width="11.7109375" style="2" bestFit="1" customWidth="1"/>
    <col min="11" max="11" width="8" style="2" bestFit="1" customWidth="1"/>
    <col min="12" max="12" width="11.7109375" style="2" bestFit="1" customWidth="1"/>
    <col min="13" max="13" width="8" style="2" bestFit="1" customWidth="1"/>
    <col min="14" max="14" width="11.7109375" style="2" bestFit="1" customWidth="1"/>
    <col min="15" max="15" width="7.42578125" style="9" bestFit="1" customWidth="1"/>
    <col min="16" max="16" width="12.5703125" style="9" bestFit="1" customWidth="1"/>
    <col min="17" max="16384" width="9.140625" style="2"/>
  </cols>
  <sheetData>
    <row r="2" spans="2:16" s="23" customFormat="1" ht="12.75" x14ac:dyDescent="0.2">
      <c r="B2" s="24" t="str">
        <f ca="1">MID(CELL("filename",A1),FIND("]",CELL("filename",A1))+1,255)</f>
        <v>Table 2.4.3-B7</v>
      </c>
    </row>
    <row r="3" spans="2:16" s="23" customFormat="1" ht="12.75" x14ac:dyDescent="0.2"/>
    <row r="4" spans="2:16" s="23" customFormat="1" ht="12.75" x14ac:dyDescent="0.2">
      <c r="B4" s="1" t="s">
        <v>6</v>
      </c>
    </row>
    <row r="5" spans="2:16" s="23" customFormat="1" ht="12.75" x14ac:dyDescent="0.2">
      <c r="B5" s="1" t="s">
        <v>12</v>
      </c>
    </row>
    <row r="6" spans="2:16" s="23" customFormat="1" ht="12.75" x14ac:dyDescent="0.2">
      <c r="B6" s="1" t="s">
        <v>104</v>
      </c>
    </row>
    <row r="7" spans="2:16" s="23" customFormat="1" ht="12.75" x14ac:dyDescent="0.2">
      <c r="B7" s="1" t="s">
        <v>67</v>
      </c>
    </row>
    <row r="8" spans="2:16" ht="12.75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6" ht="12" x14ac:dyDescent="0.2">
      <c r="B9" s="46"/>
      <c r="C9" s="182" t="s">
        <v>13</v>
      </c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</row>
    <row r="10" spans="2:16" ht="29.25" customHeight="1" x14ac:dyDescent="0.2">
      <c r="B10" s="44"/>
      <c r="C10" s="184" t="s">
        <v>32</v>
      </c>
      <c r="D10" s="185"/>
      <c r="E10" s="186" t="s">
        <v>70</v>
      </c>
      <c r="F10" s="186"/>
      <c r="G10" s="184" t="s">
        <v>31</v>
      </c>
      <c r="H10" s="185"/>
      <c r="I10" s="186" t="s">
        <v>30</v>
      </c>
      <c r="J10" s="185"/>
      <c r="K10" s="184" t="s">
        <v>34</v>
      </c>
      <c r="L10" s="185"/>
      <c r="M10" s="184" t="s">
        <v>33</v>
      </c>
      <c r="N10" s="185"/>
      <c r="O10" s="186" t="s">
        <v>35</v>
      </c>
      <c r="P10" s="186"/>
    </row>
    <row r="11" spans="2:16" ht="12" x14ac:dyDescent="0.2">
      <c r="B11" s="45" t="s">
        <v>29</v>
      </c>
      <c r="C11" s="146" t="s">
        <v>2</v>
      </c>
      <c r="D11" s="147" t="s">
        <v>3</v>
      </c>
      <c r="E11" s="148" t="s">
        <v>2</v>
      </c>
      <c r="F11" s="148" t="s">
        <v>3</v>
      </c>
      <c r="G11" s="154" t="s">
        <v>2</v>
      </c>
      <c r="H11" s="153" t="s">
        <v>3</v>
      </c>
      <c r="I11" s="148" t="s">
        <v>2</v>
      </c>
      <c r="J11" s="147" t="s">
        <v>3</v>
      </c>
      <c r="K11" s="146" t="s">
        <v>2</v>
      </c>
      <c r="L11" s="147" t="s">
        <v>3</v>
      </c>
      <c r="M11" s="146" t="s">
        <v>2</v>
      </c>
      <c r="N11" s="147" t="s">
        <v>3</v>
      </c>
      <c r="O11" s="148" t="s">
        <v>2</v>
      </c>
      <c r="P11" s="148" t="s">
        <v>3</v>
      </c>
    </row>
    <row r="12" spans="2:16" ht="12.75" x14ac:dyDescent="0.2">
      <c r="B12" s="55">
        <v>2012</v>
      </c>
      <c r="C12" s="69"/>
      <c r="D12" s="81"/>
      <c r="E12" s="69"/>
      <c r="F12" s="56"/>
      <c r="G12" s="90"/>
      <c r="H12" s="81"/>
      <c r="I12" s="69"/>
      <c r="J12" s="56"/>
      <c r="K12" s="90"/>
      <c r="L12" s="81"/>
      <c r="M12" s="90"/>
      <c r="N12" s="81"/>
      <c r="O12" s="69"/>
      <c r="P12" s="56"/>
    </row>
    <row r="13" spans="2:16" ht="12" x14ac:dyDescent="0.2">
      <c r="B13" s="64" t="s">
        <v>14</v>
      </c>
      <c r="C13" s="71">
        <f>'[12]Statistical Data'!C8</f>
        <v>8</v>
      </c>
      <c r="D13" s="78">
        <f>'[12]Statistical Data'!D8</f>
        <v>2392400</v>
      </c>
      <c r="E13" s="71">
        <f>'[12]Statistical Data'!E8</f>
        <v>3</v>
      </c>
      <c r="F13" s="50">
        <f>'[12]Statistical Data'!F8</f>
        <v>1119000</v>
      </c>
      <c r="G13" s="87">
        <f>'[12]Statistical Data'!G8</f>
        <v>1</v>
      </c>
      <c r="H13" s="78">
        <f>'[12]Statistical Data'!H8</f>
        <v>6581200</v>
      </c>
      <c r="I13" s="71">
        <f>'[12]Statistical Data'!I8</f>
        <v>3</v>
      </c>
      <c r="J13" s="50">
        <f>'[12]Statistical Data'!J8</f>
        <v>620000</v>
      </c>
      <c r="K13" s="87">
        <f>'[12]Statistical Data'!K8</f>
        <v>1</v>
      </c>
      <c r="L13" s="78">
        <f>'[12]Statistical Data'!L8</f>
        <v>104400</v>
      </c>
      <c r="M13" s="87">
        <f>'[12]Statistical Data'!M8</f>
        <v>0</v>
      </c>
      <c r="N13" s="78">
        <f>'[12]Statistical Data'!N8</f>
        <v>0</v>
      </c>
      <c r="O13" s="71">
        <f t="shared" ref="O13:P27" si="0">+C13+E13+G13+I13+K13+M13</f>
        <v>16</v>
      </c>
      <c r="P13" s="50">
        <f t="shared" si="0"/>
        <v>10817000</v>
      </c>
    </row>
    <row r="14" spans="2:16" ht="12" x14ac:dyDescent="0.2">
      <c r="B14" s="64" t="s">
        <v>15</v>
      </c>
      <c r="C14" s="71">
        <f>'[12]Statistical Data'!C9</f>
        <v>11</v>
      </c>
      <c r="D14" s="78">
        <f>'[12]Statistical Data'!D9</f>
        <v>4659258</v>
      </c>
      <c r="E14" s="71">
        <f>'[12]Statistical Data'!E9</f>
        <v>1</v>
      </c>
      <c r="F14" s="50">
        <f>'[12]Statistical Data'!F9</f>
        <v>921900</v>
      </c>
      <c r="G14" s="87">
        <f>'[12]Statistical Data'!G9</f>
        <v>0</v>
      </c>
      <c r="H14" s="78">
        <f>'[12]Statistical Data'!H9</f>
        <v>0</v>
      </c>
      <c r="I14" s="71">
        <f>'[12]Statistical Data'!I9</f>
        <v>1</v>
      </c>
      <c r="J14" s="50">
        <f>'[12]Statistical Data'!J9</f>
        <v>58800</v>
      </c>
      <c r="K14" s="87">
        <f>'[12]Statistical Data'!K9</f>
        <v>0</v>
      </c>
      <c r="L14" s="78">
        <f>'[12]Statistical Data'!L9</f>
        <v>0</v>
      </c>
      <c r="M14" s="87">
        <f>'[12]Statistical Data'!M9</f>
        <v>1</v>
      </c>
      <c r="N14" s="78">
        <f>'[12]Statistical Data'!N9</f>
        <v>0</v>
      </c>
      <c r="O14" s="71">
        <f t="shared" si="0"/>
        <v>14</v>
      </c>
      <c r="P14" s="50">
        <f t="shared" si="0"/>
        <v>5639958</v>
      </c>
    </row>
    <row r="15" spans="2:16" ht="12" x14ac:dyDescent="0.2">
      <c r="B15" s="64" t="s">
        <v>16</v>
      </c>
      <c r="C15" s="71">
        <f>'[12]Statistical Data'!C10</f>
        <v>9</v>
      </c>
      <c r="D15" s="78">
        <f>'[12]Statistical Data'!D10</f>
        <v>2550900</v>
      </c>
      <c r="E15" s="71">
        <f>'[12]Statistical Data'!E10</f>
        <v>0</v>
      </c>
      <c r="F15" s="50">
        <f>'[12]Statistical Data'!F10</f>
        <v>0</v>
      </c>
      <c r="G15" s="87">
        <f>'[12]Statistical Data'!G10</f>
        <v>0</v>
      </c>
      <c r="H15" s="78">
        <f>'[12]Statistical Data'!H10</f>
        <v>0</v>
      </c>
      <c r="I15" s="71">
        <f>'[12]Statistical Data'!I10</f>
        <v>1</v>
      </c>
      <c r="J15" s="50">
        <f>'[12]Statistical Data'!J10</f>
        <v>96100</v>
      </c>
      <c r="K15" s="87">
        <f>'[12]Statistical Data'!K10</f>
        <v>2</v>
      </c>
      <c r="L15" s="78">
        <f>'[12]Statistical Data'!L10</f>
        <v>138800</v>
      </c>
      <c r="M15" s="87">
        <f>'[12]Statistical Data'!M10</f>
        <v>1</v>
      </c>
      <c r="N15" s="78">
        <f>'[12]Statistical Data'!N10</f>
        <v>288000</v>
      </c>
      <c r="O15" s="71">
        <f t="shared" si="0"/>
        <v>13</v>
      </c>
      <c r="P15" s="50">
        <f t="shared" si="0"/>
        <v>3073800</v>
      </c>
    </row>
    <row r="16" spans="2:16" ht="12" x14ac:dyDescent="0.2">
      <c r="B16" s="51" t="s">
        <v>17</v>
      </c>
      <c r="C16" s="72">
        <f>SUM(C13:C15)</f>
        <v>28</v>
      </c>
      <c r="D16" s="79">
        <f t="shared" ref="D16:N16" si="1">SUM(D13:D15)</f>
        <v>9602558</v>
      </c>
      <c r="E16" s="72">
        <f t="shared" si="1"/>
        <v>4</v>
      </c>
      <c r="F16" s="52">
        <f t="shared" si="1"/>
        <v>2040900</v>
      </c>
      <c r="G16" s="88">
        <f t="shared" si="1"/>
        <v>1</v>
      </c>
      <c r="H16" s="79">
        <f t="shared" si="1"/>
        <v>6581200</v>
      </c>
      <c r="I16" s="72">
        <f t="shared" si="1"/>
        <v>5</v>
      </c>
      <c r="J16" s="52">
        <f t="shared" si="1"/>
        <v>774900</v>
      </c>
      <c r="K16" s="88">
        <f t="shared" si="1"/>
        <v>3</v>
      </c>
      <c r="L16" s="79">
        <f t="shared" si="1"/>
        <v>243200</v>
      </c>
      <c r="M16" s="88">
        <f t="shared" si="1"/>
        <v>2</v>
      </c>
      <c r="N16" s="79">
        <f t="shared" si="1"/>
        <v>288000</v>
      </c>
      <c r="O16" s="72">
        <f>+C16+E16+G16+I16+K16+M16</f>
        <v>43</v>
      </c>
      <c r="P16" s="52">
        <f>SUM(P13:P15)</f>
        <v>19530758</v>
      </c>
    </row>
    <row r="17" spans="2:16" ht="12" x14ac:dyDescent="0.2">
      <c r="B17" s="64" t="s">
        <v>18</v>
      </c>
      <c r="C17" s="71">
        <f>'[12]Statistical Data'!C12</f>
        <v>8</v>
      </c>
      <c r="D17" s="78">
        <f>'[12]Statistical Data'!D12</f>
        <v>3691500</v>
      </c>
      <c r="E17" s="71">
        <f>'[12]Statistical Data'!E12</f>
        <v>0</v>
      </c>
      <c r="F17" s="50">
        <f>'[12]Statistical Data'!F12</f>
        <v>0</v>
      </c>
      <c r="G17" s="87">
        <f>'[12]Statistical Data'!G12</f>
        <v>1</v>
      </c>
      <c r="H17" s="78">
        <f>'[12]Statistical Data'!H12</f>
        <v>389000</v>
      </c>
      <c r="I17" s="71">
        <f>'[12]Statistical Data'!I12</f>
        <v>0</v>
      </c>
      <c r="J17" s="50">
        <f>'[12]Statistical Data'!J12</f>
        <v>0</v>
      </c>
      <c r="K17" s="87">
        <f>'[12]Statistical Data'!K12</f>
        <v>0</v>
      </c>
      <c r="L17" s="78">
        <f>'[12]Statistical Data'!L12</f>
        <v>0</v>
      </c>
      <c r="M17" s="87">
        <f>'[12]Statistical Data'!M12</f>
        <v>2</v>
      </c>
      <c r="N17" s="78">
        <f>'[12]Statistical Data'!N12</f>
        <v>2047800</v>
      </c>
      <c r="O17" s="71">
        <f t="shared" si="0"/>
        <v>11</v>
      </c>
      <c r="P17" s="50">
        <f>+D17+F17+H17+J17+L17+N17</f>
        <v>6128300</v>
      </c>
    </row>
    <row r="18" spans="2:16" ht="12" x14ac:dyDescent="0.2">
      <c r="B18" s="64" t="s">
        <v>19</v>
      </c>
      <c r="C18" s="71">
        <f>'[12]Statistical Data'!C13</f>
        <v>8</v>
      </c>
      <c r="D18" s="78">
        <f>'[12]Statistical Data'!D13</f>
        <v>2488500</v>
      </c>
      <c r="E18" s="71">
        <f>'[12]Statistical Data'!E13</f>
        <v>2</v>
      </c>
      <c r="F18" s="50">
        <f>'[12]Statistical Data'!F13</f>
        <v>1517200</v>
      </c>
      <c r="G18" s="87">
        <f>'[12]Statistical Data'!G13</f>
        <v>0</v>
      </c>
      <c r="H18" s="78">
        <f>'[12]Statistical Data'!H13</f>
        <v>0</v>
      </c>
      <c r="I18" s="71">
        <f>'[12]Statistical Data'!I13</f>
        <v>0</v>
      </c>
      <c r="J18" s="50">
        <f>'[12]Statistical Data'!J13</f>
        <v>0</v>
      </c>
      <c r="K18" s="87">
        <f>'[12]Statistical Data'!K13</f>
        <v>0</v>
      </c>
      <c r="L18" s="78">
        <f>'[12]Statistical Data'!L13</f>
        <v>0</v>
      </c>
      <c r="M18" s="87">
        <f>'[12]Statistical Data'!M13</f>
        <v>2</v>
      </c>
      <c r="N18" s="78">
        <f>'[12]Statistical Data'!N13</f>
        <v>32000</v>
      </c>
      <c r="O18" s="71">
        <f t="shared" si="0"/>
        <v>12</v>
      </c>
      <c r="P18" s="50">
        <f>+D18+F18+H18+J18+L18+N18</f>
        <v>4037700</v>
      </c>
    </row>
    <row r="19" spans="2:16" ht="12" x14ac:dyDescent="0.2">
      <c r="B19" s="64" t="s">
        <v>20</v>
      </c>
      <c r="C19" s="71">
        <f>'[12]Statistical Data'!C14</f>
        <v>3</v>
      </c>
      <c r="D19" s="78">
        <f>'[12]Statistical Data'!D14</f>
        <v>1197360</v>
      </c>
      <c r="E19" s="71">
        <f>'[12]Statistical Data'!E14</f>
        <v>0</v>
      </c>
      <c r="F19" s="50">
        <f>'[12]Statistical Data'!F14</f>
        <v>0</v>
      </c>
      <c r="G19" s="87">
        <f>'[12]Statistical Data'!G14</f>
        <v>0</v>
      </c>
      <c r="H19" s="78">
        <f>'[12]Statistical Data'!H14</f>
        <v>0</v>
      </c>
      <c r="I19" s="71">
        <f>'[12]Statistical Data'!I14</f>
        <v>1</v>
      </c>
      <c r="J19" s="50">
        <f>'[12]Statistical Data'!J14</f>
        <v>87780</v>
      </c>
      <c r="K19" s="87">
        <f>'[12]Statistical Data'!K14</f>
        <v>0</v>
      </c>
      <c r="L19" s="78">
        <f>'[12]Statistical Data'!L14</f>
        <v>0</v>
      </c>
      <c r="M19" s="87">
        <f>'[12]Statistical Data'!M14</f>
        <v>0</v>
      </c>
      <c r="N19" s="78">
        <f>'[12]Statistical Data'!N14</f>
        <v>0</v>
      </c>
      <c r="O19" s="71">
        <f t="shared" si="0"/>
        <v>4</v>
      </c>
      <c r="P19" s="50">
        <f>+D19+F19+H19+J19+L19+N19</f>
        <v>1285140</v>
      </c>
    </row>
    <row r="20" spans="2:16" ht="12" x14ac:dyDescent="0.2">
      <c r="B20" s="51" t="s">
        <v>21</v>
      </c>
      <c r="C20" s="72">
        <f>SUM(C17:C19)</f>
        <v>19</v>
      </c>
      <c r="D20" s="79">
        <f t="shared" ref="D20:N20" si="2">SUM(D17:D19)</f>
        <v>7377360</v>
      </c>
      <c r="E20" s="72">
        <f t="shared" si="2"/>
        <v>2</v>
      </c>
      <c r="F20" s="52">
        <f t="shared" si="2"/>
        <v>1517200</v>
      </c>
      <c r="G20" s="88">
        <f t="shared" si="2"/>
        <v>1</v>
      </c>
      <c r="H20" s="79">
        <f t="shared" si="2"/>
        <v>389000</v>
      </c>
      <c r="I20" s="72">
        <f t="shared" si="2"/>
        <v>1</v>
      </c>
      <c r="J20" s="52">
        <f t="shared" si="2"/>
        <v>87780</v>
      </c>
      <c r="K20" s="88">
        <f t="shared" si="2"/>
        <v>0</v>
      </c>
      <c r="L20" s="79">
        <f t="shared" si="2"/>
        <v>0</v>
      </c>
      <c r="M20" s="88">
        <f t="shared" si="2"/>
        <v>4</v>
      </c>
      <c r="N20" s="79">
        <f t="shared" si="2"/>
        <v>2079800</v>
      </c>
      <c r="O20" s="72">
        <f>+C20+E20+G20+I20+K20+M20</f>
        <v>27</v>
      </c>
      <c r="P20" s="52">
        <f>SUM(P17:P19)</f>
        <v>11451140</v>
      </c>
    </row>
    <row r="21" spans="2:16" ht="12" x14ac:dyDescent="0.2">
      <c r="B21" s="64" t="s">
        <v>22</v>
      </c>
      <c r="C21" s="71">
        <f>'[12]Statistical Data'!C16</f>
        <v>8</v>
      </c>
      <c r="D21" s="78">
        <f>'[12]Statistical Data'!D16</f>
        <v>1871900</v>
      </c>
      <c r="E21" s="71">
        <f>'[12]Statistical Data'!E16</f>
        <v>3</v>
      </c>
      <c r="F21" s="50">
        <f>'[12]Statistical Data'!F16</f>
        <v>1703400</v>
      </c>
      <c r="G21" s="87">
        <f>'[12]Statistical Data'!G16</f>
        <v>0</v>
      </c>
      <c r="H21" s="78">
        <f>'[12]Statistical Data'!H16</f>
        <v>0</v>
      </c>
      <c r="I21" s="71">
        <f>'[12]Statistical Data'!I16</f>
        <v>1</v>
      </c>
      <c r="J21" s="50">
        <f>'[12]Statistical Data'!J16</f>
        <v>25600</v>
      </c>
      <c r="K21" s="87">
        <f>'[12]Statistical Data'!K16</f>
        <v>0</v>
      </c>
      <c r="L21" s="78">
        <f>'[12]Statistical Data'!L16</f>
        <v>0</v>
      </c>
      <c r="M21" s="87">
        <f>'[12]Statistical Data'!M16</f>
        <v>0</v>
      </c>
      <c r="N21" s="78">
        <f>'[12]Statistical Data'!N16</f>
        <v>0</v>
      </c>
      <c r="O21" s="71">
        <f t="shared" si="0"/>
        <v>12</v>
      </c>
      <c r="P21" s="50">
        <f>+D21+F21+H21+J21+L21+N21</f>
        <v>3600900</v>
      </c>
    </row>
    <row r="22" spans="2:16" ht="12" x14ac:dyDescent="0.2">
      <c r="B22" s="64" t="s">
        <v>23</v>
      </c>
      <c r="C22" s="71">
        <f>'[12]Statistical Data'!C17</f>
        <v>3</v>
      </c>
      <c r="D22" s="78">
        <f>'[12]Statistical Data'!D17</f>
        <v>394100</v>
      </c>
      <c r="E22" s="71">
        <f>'[12]Statistical Data'!E17</f>
        <v>1</v>
      </c>
      <c r="F22" s="50">
        <f>'[12]Statistical Data'!F17</f>
        <v>114300</v>
      </c>
      <c r="G22" s="87">
        <f>'[12]Statistical Data'!G17</f>
        <v>0</v>
      </c>
      <c r="H22" s="78">
        <f>'[12]Statistical Data'!H17</f>
        <v>0</v>
      </c>
      <c r="I22" s="71">
        <f>'[12]Statistical Data'!I17</f>
        <v>4</v>
      </c>
      <c r="J22" s="50">
        <f>'[12]Statistical Data'!J17</f>
        <v>337600</v>
      </c>
      <c r="K22" s="87">
        <f>'[12]Statistical Data'!K17</f>
        <v>0</v>
      </c>
      <c r="L22" s="78">
        <f>'[12]Statistical Data'!L17</f>
        <v>0</v>
      </c>
      <c r="M22" s="87">
        <f>'[12]Statistical Data'!M17</f>
        <v>0</v>
      </c>
      <c r="N22" s="78">
        <f>'[12]Statistical Data'!N17</f>
        <v>0</v>
      </c>
      <c r="O22" s="71">
        <f t="shared" si="0"/>
        <v>8</v>
      </c>
      <c r="P22" s="50">
        <f>+D22+F22+H22+J22+L22+N22</f>
        <v>846000</v>
      </c>
    </row>
    <row r="23" spans="2:16" ht="12" x14ac:dyDescent="0.2">
      <c r="B23" s="64" t="s">
        <v>36</v>
      </c>
      <c r="C23" s="71">
        <f>'[12]Statistical Data'!C18</f>
        <v>6</v>
      </c>
      <c r="D23" s="78">
        <f>'[12]Statistical Data'!D18</f>
        <v>715900</v>
      </c>
      <c r="E23" s="71">
        <f>'[12]Statistical Data'!E18</f>
        <v>1</v>
      </c>
      <c r="F23" s="50">
        <f>'[12]Statistical Data'!F18</f>
        <v>356000</v>
      </c>
      <c r="G23" s="87">
        <f>'[12]Statistical Data'!G18</f>
        <v>0</v>
      </c>
      <c r="H23" s="78">
        <f>'[12]Statistical Data'!H18</f>
        <v>0</v>
      </c>
      <c r="I23" s="71">
        <f>'[12]Statistical Data'!I18</f>
        <v>3</v>
      </c>
      <c r="J23" s="50">
        <f>'[12]Statistical Data'!J18</f>
        <v>5428800</v>
      </c>
      <c r="K23" s="87">
        <f>'[12]Statistical Data'!K18</f>
        <v>2</v>
      </c>
      <c r="L23" s="78">
        <f>'[12]Statistical Data'!L18</f>
        <v>0</v>
      </c>
      <c r="M23" s="87">
        <f>'[12]Statistical Data'!M18</f>
        <v>0</v>
      </c>
      <c r="N23" s="78">
        <f>'[12]Statistical Data'!N18</f>
        <v>0</v>
      </c>
      <c r="O23" s="71">
        <f t="shared" si="0"/>
        <v>12</v>
      </c>
      <c r="P23" s="50">
        <f>+D23+F23+H23+J23+L23+N23</f>
        <v>6500700</v>
      </c>
    </row>
    <row r="24" spans="2:16" ht="12" x14ac:dyDescent="0.2">
      <c r="B24" s="51" t="s">
        <v>24</v>
      </c>
      <c r="C24" s="72">
        <f t="shared" ref="C24:N24" si="3">SUM(C21:C23)</f>
        <v>17</v>
      </c>
      <c r="D24" s="79">
        <f t="shared" si="3"/>
        <v>2981900</v>
      </c>
      <c r="E24" s="72">
        <f t="shared" si="3"/>
        <v>5</v>
      </c>
      <c r="F24" s="52">
        <f t="shared" si="3"/>
        <v>2173700</v>
      </c>
      <c r="G24" s="88">
        <f t="shared" si="3"/>
        <v>0</v>
      </c>
      <c r="H24" s="79">
        <f t="shared" si="3"/>
        <v>0</v>
      </c>
      <c r="I24" s="72">
        <f t="shared" si="3"/>
        <v>8</v>
      </c>
      <c r="J24" s="52">
        <f t="shared" si="3"/>
        <v>5792000</v>
      </c>
      <c r="K24" s="88">
        <f t="shared" si="3"/>
        <v>2</v>
      </c>
      <c r="L24" s="79">
        <f t="shared" si="3"/>
        <v>0</v>
      </c>
      <c r="M24" s="88">
        <f t="shared" si="3"/>
        <v>0</v>
      </c>
      <c r="N24" s="79">
        <f t="shared" si="3"/>
        <v>0</v>
      </c>
      <c r="O24" s="72">
        <f>+C24+E24+G24+I24+K24+M24</f>
        <v>32</v>
      </c>
      <c r="P24" s="52">
        <f>SUM(P21:P23)</f>
        <v>10947600</v>
      </c>
    </row>
    <row r="25" spans="2:16" ht="12" x14ac:dyDescent="0.2">
      <c r="B25" s="64" t="s">
        <v>25</v>
      </c>
      <c r="C25" s="71">
        <f>'[12]Statistical Data'!C20</f>
        <v>5</v>
      </c>
      <c r="D25" s="78">
        <f>'[12]Statistical Data'!D20</f>
        <v>1412500</v>
      </c>
      <c r="E25" s="71">
        <f>'[12]Statistical Data'!E20</f>
        <v>0</v>
      </c>
      <c r="F25" s="50">
        <f>'[12]Statistical Data'!F20</f>
        <v>0</v>
      </c>
      <c r="G25" s="87">
        <f>'[12]Statistical Data'!G20</f>
        <v>0</v>
      </c>
      <c r="H25" s="78">
        <f>'[12]Statistical Data'!H20</f>
        <v>0</v>
      </c>
      <c r="I25" s="71">
        <f>'[12]Statistical Data'!I20</f>
        <v>2</v>
      </c>
      <c r="J25" s="50">
        <f>'[12]Statistical Data'!J20</f>
        <v>399700</v>
      </c>
      <c r="K25" s="87">
        <f>'[12]Statistical Data'!K20</f>
        <v>0</v>
      </c>
      <c r="L25" s="78">
        <f>'[12]Statistical Data'!L20</f>
        <v>0</v>
      </c>
      <c r="M25" s="87">
        <f>'[12]Statistical Data'!M20</f>
        <v>1</v>
      </c>
      <c r="N25" s="78">
        <f>'[12]Statistical Data'!N20</f>
        <v>0</v>
      </c>
      <c r="O25" s="71">
        <f t="shared" si="0"/>
        <v>8</v>
      </c>
      <c r="P25" s="50">
        <f>+D25+F25+H25+J25+L25+N25</f>
        <v>1812200</v>
      </c>
    </row>
    <row r="26" spans="2:16" ht="12" x14ac:dyDescent="0.2">
      <c r="B26" s="64" t="s">
        <v>26</v>
      </c>
      <c r="C26" s="71">
        <f>'[12]Statistical Data'!C21</f>
        <v>8</v>
      </c>
      <c r="D26" s="78">
        <f>'[12]Statistical Data'!D21</f>
        <v>1794200</v>
      </c>
      <c r="E26" s="71">
        <f>'[12]Statistical Data'!E21</f>
        <v>0</v>
      </c>
      <c r="F26" s="50">
        <f>'[12]Statistical Data'!F21</f>
        <v>0</v>
      </c>
      <c r="G26" s="87">
        <f>'[12]Statistical Data'!G21</f>
        <v>1</v>
      </c>
      <c r="H26" s="78">
        <f>'[12]Statistical Data'!H21</f>
        <v>2236000</v>
      </c>
      <c r="I26" s="71">
        <f>'[12]Statistical Data'!I21</f>
        <v>1</v>
      </c>
      <c r="J26" s="50">
        <f>'[12]Statistical Data'!J21</f>
        <v>52400</v>
      </c>
      <c r="K26" s="87">
        <f>'[12]Statistical Data'!K21</f>
        <v>0</v>
      </c>
      <c r="L26" s="78">
        <f>'[12]Statistical Data'!L21</f>
        <v>0</v>
      </c>
      <c r="M26" s="87">
        <f>'[12]Statistical Data'!M21</f>
        <v>0</v>
      </c>
      <c r="N26" s="78">
        <f>'[12]Statistical Data'!N21</f>
        <v>0</v>
      </c>
      <c r="O26" s="71">
        <f t="shared" si="0"/>
        <v>10</v>
      </c>
      <c r="P26" s="50">
        <f>+D26+F26+H26+J26+L26+N26</f>
        <v>4082600</v>
      </c>
    </row>
    <row r="27" spans="2:16" ht="12" x14ac:dyDescent="0.2">
      <c r="B27" s="64" t="s">
        <v>27</v>
      </c>
      <c r="C27" s="71">
        <f>'[12]Statistical Data'!C22</f>
        <v>3</v>
      </c>
      <c r="D27" s="78">
        <f>'[12]Statistical Data'!D22</f>
        <v>660100</v>
      </c>
      <c r="E27" s="71">
        <f>'[12]Statistical Data'!E22</f>
        <v>0</v>
      </c>
      <c r="F27" s="50">
        <f>'[12]Statistical Data'!F22</f>
        <v>0</v>
      </c>
      <c r="G27" s="87">
        <f>'[12]Statistical Data'!G22</f>
        <v>1</v>
      </c>
      <c r="H27" s="78">
        <f>'[12]Statistical Data'!H22</f>
        <v>634400</v>
      </c>
      <c r="I27" s="71">
        <f>'[12]Statistical Data'!I22</f>
        <v>1</v>
      </c>
      <c r="J27" s="50">
        <f>'[12]Statistical Data'!J22</f>
        <v>0</v>
      </c>
      <c r="K27" s="87">
        <f>'[12]Statistical Data'!K22</f>
        <v>0</v>
      </c>
      <c r="L27" s="78">
        <f>'[12]Statistical Data'!L22</f>
        <v>0</v>
      </c>
      <c r="M27" s="87">
        <f>'[12]Statistical Data'!M22</f>
        <v>0</v>
      </c>
      <c r="N27" s="78">
        <f>'[12]Statistical Data'!N22</f>
        <v>0</v>
      </c>
      <c r="O27" s="71">
        <f t="shared" si="0"/>
        <v>5</v>
      </c>
      <c r="P27" s="50">
        <f>+D27+F27+H27+J27+L27+N27</f>
        <v>1294500</v>
      </c>
    </row>
    <row r="28" spans="2:16" s="9" customFormat="1" ht="12" x14ac:dyDescent="0.2">
      <c r="B28" s="51" t="s">
        <v>28</v>
      </c>
      <c r="C28" s="72">
        <f t="shared" ref="C28:N28" si="4">SUM(C25:C27)</f>
        <v>16</v>
      </c>
      <c r="D28" s="79">
        <f>SUM(D25:D27)</f>
        <v>3866800</v>
      </c>
      <c r="E28" s="72">
        <f t="shared" si="4"/>
        <v>0</v>
      </c>
      <c r="F28" s="52">
        <f t="shared" si="4"/>
        <v>0</v>
      </c>
      <c r="G28" s="88">
        <f>SUM(G25:G27)</f>
        <v>2</v>
      </c>
      <c r="H28" s="79">
        <f t="shared" si="4"/>
        <v>2870400</v>
      </c>
      <c r="I28" s="72">
        <f t="shared" si="4"/>
        <v>4</v>
      </c>
      <c r="J28" s="52">
        <f t="shared" si="4"/>
        <v>452100</v>
      </c>
      <c r="K28" s="88">
        <f t="shared" si="4"/>
        <v>0</v>
      </c>
      <c r="L28" s="79">
        <f t="shared" si="4"/>
        <v>0</v>
      </c>
      <c r="M28" s="88">
        <f t="shared" si="4"/>
        <v>1</v>
      </c>
      <c r="N28" s="79">
        <f t="shared" si="4"/>
        <v>0</v>
      </c>
      <c r="O28" s="72">
        <f>+C28+E28+G28+I28+K28+M28</f>
        <v>23</v>
      </c>
      <c r="P28" s="52">
        <f>SUM(P25:P27)</f>
        <v>7189300</v>
      </c>
    </row>
    <row r="29" spans="2:16" s="9" customFormat="1" ht="12" x14ac:dyDescent="0.2">
      <c r="B29" s="45" t="s">
        <v>35</v>
      </c>
      <c r="C29" s="73">
        <f t="shared" ref="C29:N29" si="5">+C16+C20+C24+C28</f>
        <v>80</v>
      </c>
      <c r="D29" s="80">
        <f t="shared" si="5"/>
        <v>23828618</v>
      </c>
      <c r="E29" s="73">
        <f t="shared" si="5"/>
        <v>11</v>
      </c>
      <c r="F29" s="53">
        <f t="shared" si="5"/>
        <v>5731800</v>
      </c>
      <c r="G29" s="89">
        <f t="shared" si="5"/>
        <v>4</v>
      </c>
      <c r="H29" s="80">
        <f t="shared" si="5"/>
        <v>9840600</v>
      </c>
      <c r="I29" s="73">
        <f t="shared" si="5"/>
        <v>18</v>
      </c>
      <c r="J29" s="53">
        <f t="shared" si="5"/>
        <v>7106780</v>
      </c>
      <c r="K29" s="89">
        <f t="shared" si="5"/>
        <v>5</v>
      </c>
      <c r="L29" s="80">
        <f t="shared" si="5"/>
        <v>243200</v>
      </c>
      <c r="M29" s="89">
        <f t="shared" si="5"/>
        <v>7</v>
      </c>
      <c r="N29" s="80">
        <f t="shared" si="5"/>
        <v>2367800</v>
      </c>
      <c r="O29" s="73">
        <f>+C29+E29+G29+I29+K29+M29</f>
        <v>125</v>
      </c>
      <c r="P29" s="53">
        <f>P16+P20+P24+P28</f>
        <v>49118798</v>
      </c>
    </row>
    <row r="30" spans="2:16" s="9" customFormat="1" ht="12" x14ac:dyDescent="0.2">
      <c r="B30" s="45"/>
      <c r="C30" s="68"/>
      <c r="D30" s="54"/>
      <c r="E30" s="68"/>
      <c r="F30" s="54"/>
      <c r="G30" s="68"/>
      <c r="H30" s="54"/>
      <c r="I30" s="68"/>
      <c r="J30" s="54"/>
      <c r="K30" s="68"/>
      <c r="L30" s="54"/>
      <c r="M30" s="68"/>
      <c r="N30" s="54"/>
      <c r="O30" s="68"/>
      <c r="P30" s="54"/>
    </row>
    <row r="31" spans="2:16" s="15" customFormat="1" ht="12.75" x14ac:dyDescent="0.2">
      <c r="B31" s="55">
        <v>2013</v>
      </c>
      <c r="C31" s="132"/>
      <c r="D31" s="133"/>
      <c r="E31" s="132"/>
      <c r="F31" s="132"/>
      <c r="G31" s="134"/>
      <c r="H31" s="133"/>
      <c r="I31" s="132"/>
      <c r="J31" s="132"/>
      <c r="K31" s="134"/>
      <c r="L31" s="133"/>
      <c r="M31" s="134"/>
      <c r="N31" s="133"/>
      <c r="O31" s="132"/>
      <c r="P31" s="132"/>
    </row>
    <row r="32" spans="2:16" s="15" customFormat="1" ht="12" x14ac:dyDescent="0.2">
      <c r="B32" s="64" t="s">
        <v>14</v>
      </c>
      <c r="C32" s="71">
        <f>'[13]Statistical Data'!$C$8</f>
        <v>1</v>
      </c>
      <c r="D32" s="78">
        <f>'[13]Statistical Data'!$D$8</f>
        <v>154000</v>
      </c>
      <c r="E32" s="71">
        <f>'[13]Statistical Data'!$E$8</f>
        <v>2</v>
      </c>
      <c r="F32" s="50">
        <f>'[13]Statistical Data'!$F$8</f>
        <v>723500</v>
      </c>
      <c r="G32" s="87">
        <f>'[13]Statistical Data'!$G$8</f>
        <v>0</v>
      </c>
      <c r="H32" s="78">
        <f>'[13]Statistical Data'!$H$8</f>
        <v>0</v>
      </c>
      <c r="I32" s="71">
        <f>'[13]Statistical Data'!$I$8</f>
        <v>1</v>
      </c>
      <c r="J32" s="50">
        <f>'[13]Statistical Data'!$J$8</f>
        <v>42600</v>
      </c>
      <c r="K32" s="87">
        <f>'[13]Statistical Data'!$K$8</f>
        <v>0</v>
      </c>
      <c r="L32" s="78">
        <f>'[13]Statistical Data'!$L$8</f>
        <v>0</v>
      </c>
      <c r="M32" s="87">
        <f>'[13]Statistical Data'!$M$8</f>
        <v>0</v>
      </c>
      <c r="N32" s="78">
        <f>'[13]Statistical Data'!$N$8</f>
        <v>0</v>
      </c>
      <c r="O32" s="71">
        <f>'[13]Statistical Data'!$O$8</f>
        <v>4</v>
      </c>
      <c r="P32" s="50">
        <f>'[13]Statistical Data'!P8</f>
        <v>920100</v>
      </c>
    </row>
    <row r="33" spans="2:16" s="15" customFormat="1" ht="12" x14ac:dyDescent="0.2">
      <c r="B33" s="64" t="s">
        <v>15</v>
      </c>
      <c r="C33" s="71">
        <f>'[13]Statistical Data'!$C$9</f>
        <v>3</v>
      </c>
      <c r="D33" s="78">
        <f>'[13]Statistical Data'!$D$9</f>
        <v>703700</v>
      </c>
      <c r="E33" s="71">
        <f>'[13]Statistical Data'!$E$9</f>
        <v>2</v>
      </c>
      <c r="F33" s="50">
        <f>'[13]Statistical Data'!$F$9</f>
        <v>626500</v>
      </c>
      <c r="G33" s="87">
        <f>'[13]Statistical Data'!$G$9</f>
        <v>1</v>
      </c>
      <c r="H33" s="78">
        <f>'[13]Statistical Data'!$H$9</f>
        <v>349800</v>
      </c>
      <c r="I33" s="71">
        <f>'[13]Statistical Data'!$I$9</f>
        <v>2</v>
      </c>
      <c r="J33" s="50">
        <f>'[13]Statistical Data'!$J$9</f>
        <v>259000</v>
      </c>
      <c r="K33" s="87">
        <f>'[13]Statistical Data'!$K$9</f>
        <v>0</v>
      </c>
      <c r="L33" s="78">
        <f>'[13]Statistical Data'!$L$9</f>
        <v>0</v>
      </c>
      <c r="M33" s="87">
        <f>'[13]Statistical Data'!$M$9</f>
        <v>0</v>
      </c>
      <c r="N33" s="78">
        <f>'[13]Statistical Data'!$N$9</f>
        <v>0</v>
      </c>
      <c r="O33" s="71">
        <f>'[13]Statistical Data'!$O$9</f>
        <v>8</v>
      </c>
      <c r="P33" s="50">
        <f>'[13]Statistical Data'!P9</f>
        <v>1939000</v>
      </c>
    </row>
    <row r="34" spans="2:16" s="15" customFormat="1" ht="12" x14ac:dyDescent="0.2">
      <c r="B34" s="64" t="s">
        <v>16</v>
      </c>
      <c r="C34" s="71">
        <f>'[13]Statistical Data'!$C$10</f>
        <v>5</v>
      </c>
      <c r="D34" s="78">
        <f>'[13]Statistical Data'!$D$10</f>
        <v>1393400</v>
      </c>
      <c r="E34" s="71">
        <f>'[13]Statistical Data'!$E$10</f>
        <v>4</v>
      </c>
      <c r="F34" s="50">
        <f>'[13]Statistical Data'!$F$10</f>
        <v>2381713</v>
      </c>
      <c r="G34" s="87">
        <f>'[13]Statistical Data'!$G$10</f>
        <v>1</v>
      </c>
      <c r="H34" s="78">
        <f>'[13]Statistical Data'!$H$10</f>
        <v>568800</v>
      </c>
      <c r="I34" s="71">
        <f>'[13]Statistical Data'!$I$10</f>
        <v>2</v>
      </c>
      <c r="J34" s="50">
        <f>'[13]Statistical Data'!$J$10</f>
        <v>563000</v>
      </c>
      <c r="K34" s="87">
        <f>'[13]Statistical Data'!$K$10</f>
        <v>0</v>
      </c>
      <c r="L34" s="78">
        <f>'[13]Statistical Data'!$L$10</f>
        <v>0</v>
      </c>
      <c r="M34" s="87">
        <f>'[13]Statistical Data'!$M$10</f>
        <v>0</v>
      </c>
      <c r="N34" s="78">
        <f>'[13]Statistical Data'!$N$10</f>
        <v>0</v>
      </c>
      <c r="O34" s="71">
        <f>'[13]Statistical Data'!$O$10</f>
        <v>12</v>
      </c>
      <c r="P34" s="50">
        <f>'[13]Statistical Data'!P10</f>
        <v>4906913</v>
      </c>
    </row>
    <row r="35" spans="2:16" ht="12" x14ac:dyDescent="0.2">
      <c r="B35" s="51" t="s">
        <v>17</v>
      </c>
      <c r="C35" s="72">
        <f>'[13]Statistical Data'!C11</f>
        <v>9</v>
      </c>
      <c r="D35" s="79">
        <f>'[13]Statistical Data'!D11</f>
        <v>2251100</v>
      </c>
      <c r="E35" s="72">
        <f>'[13]Statistical Data'!E11</f>
        <v>8</v>
      </c>
      <c r="F35" s="52">
        <f>'[13]Statistical Data'!F11</f>
        <v>3731713</v>
      </c>
      <c r="G35" s="88">
        <f>'[13]Statistical Data'!$G$11</f>
        <v>2</v>
      </c>
      <c r="H35" s="79">
        <f>'[13]Statistical Data'!H11</f>
        <v>918600</v>
      </c>
      <c r="I35" s="72">
        <f>'[13]Statistical Data'!$I$11</f>
        <v>5</v>
      </c>
      <c r="J35" s="52">
        <f>'[13]Statistical Data'!J11</f>
        <v>864600</v>
      </c>
      <c r="K35" s="88">
        <f>'[13]Statistical Data'!K11</f>
        <v>0</v>
      </c>
      <c r="L35" s="79">
        <f>'[13]Statistical Data'!L11</f>
        <v>0</v>
      </c>
      <c r="M35" s="88">
        <f>'[13]Statistical Data'!$M$11</f>
        <v>0</v>
      </c>
      <c r="N35" s="79">
        <f>'[13]Statistical Data'!N11</f>
        <v>0</v>
      </c>
      <c r="O35" s="72">
        <f>'[13]Statistical Data'!$O$11</f>
        <v>24</v>
      </c>
      <c r="P35" s="52">
        <f>'[13]Statistical Data'!P11</f>
        <v>7766013</v>
      </c>
    </row>
    <row r="36" spans="2:16" s="15" customFormat="1" ht="12" x14ac:dyDescent="0.2">
      <c r="B36" s="64" t="s">
        <v>18</v>
      </c>
      <c r="C36" s="71">
        <f>'[13]Statistical Data'!$C$12</f>
        <v>3</v>
      </c>
      <c r="D36" s="78">
        <f>'[13]Statistical Data'!$D$12</f>
        <v>1807400</v>
      </c>
      <c r="E36" s="71">
        <f>'[13]Statistical Data'!$E$12</f>
        <v>1</v>
      </c>
      <c r="F36" s="50">
        <f>'[13]Statistical Data'!$F$12</f>
        <v>247700</v>
      </c>
      <c r="G36" s="87">
        <f>'[13]Statistical Data'!$G$12</f>
        <v>1</v>
      </c>
      <c r="H36" s="78">
        <f>'[13]Statistical Data'!$H$12</f>
        <v>412400</v>
      </c>
      <c r="I36" s="71">
        <f>'[13]Statistical Data'!$I$12</f>
        <v>0</v>
      </c>
      <c r="J36" s="50">
        <f>'[13]Statistical Data'!$J$12</f>
        <v>0</v>
      </c>
      <c r="K36" s="87">
        <f>'[13]Statistical Data'!$K$12</f>
        <v>0</v>
      </c>
      <c r="L36" s="78">
        <f>'[13]Statistical Data'!$L$12</f>
        <v>0</v>
      </c>
      <c r="M36" s="87">
        <f>'[13]Statistical Data'!$M$12</f>
        <v>1</v>
      </c>
      <c r="N36" s="78">
        <f>'[13]Statistical Data'!$N$12</f>
        <v>53500</v>
      </c>
      <c r="O36" s="71">
        <f>'[13]Statistical Data'!$O$12</f>
        <v>6</v>
      </c>
      <c r="P36" s="50">
        <f>'[13]Statistical Data'!P12</f>
        <v>2521000</v>
      </c>
    </row>
    <row r="37" spans="2:16" s="15" customFormat="1" ht="12" x14ac:dyDescent="0.2">
      <c r="B37" s="64" t="s">
        <v>19</v>
      </c>
      <c r="C37" s="71">
        <f>'[13]Statistical Data'!$C$13</f>
        <v>7</v>
      </c>
      <c r="D37" s="78">
        <f>'[13]Statistical Data'!$D$13</f>
        <v>2969200</v>
      </c>
      <c r="E37" s="71">
        <f>'[13]Statistical Data'!$E$13</f>
        <v>2</v>
      </c>
      <c r="F37" s="50">
        <f>'[13]Statistical Data'!$F$13</f>
        <v>619200</v>
      </c>
      <c r="G37" s="87">
        <f>'[13]Statistical Data'!$G$13</f>
        <v>0</v>
      </c>
      <c r="H37" s="78">
        <f>'[13]Statistical Data'!$H$13</f>
        <v>0</v>
      </c>
      <c r="I37" s="71">
        <f>'[13]Statistical Data'!$I$13</f>
        <v>3</v>
      </c>
      <c r="J37" s="50">
        <f>'[13]Statistical Data'!$J$13</f>
        <v>1145600</v>
      </c>
      <c r="K37" s="87">
        <f>'[13]Statistical Data'!$K$13</f>
        <v>0</v>
      </c>
      <c r="L37" s="78">
        <f>'[13]Statistical Data'!$L$13</f>
        <v>0</v>
      </c>
      <c r="M37" s="87">
        <f>'[13]Statistical Data'!$M$13</f>
        <v>0</v>
      </c>
      <c r="N37" s="78">
        <f>'[13]Statistical Data'!$N$13</f>
        <v>0</v>
      </c>
      <c r="O37" s="71">
        <f>'[13]Statistical Data'!$O$13</f>
        <v>12</v>
      </c>
      <c r="P37" s="50">
        <f>'[13]Statistical Data'!P13</f>
        <v>4734000</v>
      </c>
    </row>
    <row r="38" spans="2:16" s="15" customFormat="1" ht="12" x14ac:dyDescent="0.2">
      <c r="B38" s="64" t="s">
        <v>20</v>
      </c>
      <c r="C38" s="71">
        <f>'[13]Statistical Data'!$C$14</f>
        <v>3</v>
      </c>
      <c r="D38" s="78">
        <f>'[13]Statistical Data'!$D$14</f>
        <v>1370700</v>
      </c>
      <c r="E38" s="71">
        <f>'[13]Statistical Data'!$E$14</f>
        <v>1</v>
      </c>
      <c r="F38" s="50">
        <f>'[13]Statistical Data'!$F$14</f>
        <v>153400</v>
      </c>
      <c r="G38" s="87">
        <f>'[13]Statistical Data'!$G$14</f>
        <v>0</v>
      </c>
      <c r="H38" s="78">
        <f>'[13]Statistical Data'!$H$14</f>
        <v>0</v>
      </c>
      <c r="I38" s="71">
        <f>'[13]Statistical Data'!$I$14</f>
        <v>1</v>
      </c>
      <c r="J38" s="50">
        <f>'[13]Statistical Data'!$J$14</f>
        <v>147000</v>
      </c>
      <c r="K38" s="87">
        <f>'[13]Statistical Data'!$K$14</f>
        <v>0</v>
      </c>
      <c r="L38" s="78">
        <f>'[13]Statistical Data'!$L$14</f>
        <v>0</v>
      </c>
      <c r="M38" s="87">
        <f>'[13]Statistical Data'!$M$14</f>
        <v>0</v>
      </c>
      <c r="N38" s="78">
        <f>'[13]Statistical Data'!$N$14</f>
        <v>0</v>
      </c>
      <c r="O38" s="71">
        <f>'[13]Statistical Data'!$O$14</f>
        <v>5</v>
      </c>
      <c r="P38" s="50">
        <f>'[13]Statistical Data'!P14</f>
        <v>1671100</v>
      </c>
    </row>
    <row r="39" spans="2:16" ht="12" x14ac:dyDescent="0.2">
      <c r="B39" s="51" t="s">
        <v>21</v>
      </c>
      <c r="C39" s="72">
        <f>'[13]Statistical Data'!C15</f>
        <v>13</v>
      </c>
      <c r="D39" s="79">
        <f>'[13]Statistical Data'!D15</f>
        <v>6147300</v>
      </c>
      <c r="E39" s="72">
        <f>'[13]Statistical Data'!E15</f>
        <v>4</v>
      </c>
      <c r="F39" s="52">
        <f>'[13]Statistical Data'!F15</f>
        <v>1020300</v>
      </c>
      <c r="G39" s="88">
        <f>'[13]Statistical Data'!G15</f>
        <v>1</v>
      </c>
      <c r="H39" s="79">
        <f>'[13]Statistical Data'!H15</f>
        <v>412400</v>
      </c>
      <c r="I39" s="72">
        <f>'[13]Statistical Data'!I15</f>
        <v>4</v>
      </c>
      <c r="J39" s="52">
        <f>'[13]Statistical Data'!J15</f>
        <v>1292600</v>
      </c>
      <c r="K39" s="88">
        <f>'[13]Statistical Data'!K15</f>
        <v>0</v>
      </c>
      <c r="L39" s="79">
        <f>'[13]Statistical Data'!$L$15</f>
        <v>0</v>
      </c>
      <c r="M39" s="88">
        <f>'[13]Statistical Data'!M15</f>
        <v>1</v>
      </c>
      <c r="N39" s="79">
        <f>'[13]Statistical Data'!N15</f>
        <v>53500</v>
      </c>
      <c r="O39" s="72">
        <f>'[13]Statistical Data'!$O$15</f>
        <v>23</v>
      </c>
      <c r="P39" s="52">
        <f>'[13]Statistical Data'!P15</f>
        <v>8926100</v>
      </c>
    </row>
    <row r="40" spans="2:16" s="15" customFormat="1" ht="12" x14ac:dyDescent="0.2">
      <c r="B40" s="64" t="s">
        <v>22</v>
      </c>
      <c r="C40" s="71">
        <f>'[13]Statistical Data'!$C$16</f>
        <v>4</v>
      </c>
      <c r="D40" s="78">
        <f>'[13]Statistical Data'!$D$16</f>
        <v>1458300</v>
      </c>
      <c r="E40" s="71">
        <f>'[13]Statistical Data'!$E$16</f>
        <v>4</v>
      </c>
      <c r="F40" s="50">
        <f>'[13]Statistical Data'!$F$16</f>
        <v>1114200</v>
      </c>
      <c r="G40" s="87">
        <f>'[13]Statistical Data'!$G$16</f>
        <v>2</v>
      </c>
      <c r="H40" s="78">
        <f>'[13]Statistical Data'!$H$16</f>
        <v>2560200</v>
      </c>
      <c r="I40" s="71">
        <f>'[13]Statistical Data'!$I$16</f>
        <v>3</v>
      </c>
      <c r="J40" s="50">
        <f>'[13]Statistical Data'!$J$16</f>
        <v>1504000</v>
      </c>
      <c r="K40" s="87">
        <f>'[13]Statistical Data'!$K$16</f>
        <v>1</v>
      </c>
      <c r="L40" s="78">
        <f>'[13]Statistical Data'!$L$16</f>
        <v>0</v>
      </c>
      <c r="M40" s="87">
        <f>'[13]Statistical Data'!$M$16</f>
        <v>0</v>
      </c>
      <c r="N40" s="78">
        <f>'[13]Statistical Data'!$N$16</f>
        <v>0</v>
      </c>
      <c r="O40" s="71">
        <f>'[13]Statistical Data'!$O$16</f>
        <v>14</v>
      </c>
      <c r="P40" s="50">
        <f>'[13]Statistical Data'!P16</f>
        <v>6636700</v>
      </c>
    </row>
    <row r="41" spans="2:16" s="15" customFormat="1" ht="12" x14ac:dyDescent="0.2">
      <c r="B41" s="64" t="s">
        <v>23</v>
      </c>
      <c r="C41" s="71">
        <f>'[13]Statistical Data'!$C$17</f>
        <v>4</v>
      </c>
      <c r="D41" s="78">
        <f>'[13]Statistical Data'!$D$17</f>
        <v>879500</v>
      </c>
      <c r="E41" s="71">
        <f>'[13]Statistical Data'!$E$17</f>
        <v>0</v>
      </c>
      <c r="F41" s="50">
        <f>'[13]Statistical Data'!$F$17</f>
        <v>0</v>
      </c>
      <c r="G41" s="87">
        <f>'[13]Statistical Data'!$G$17</f>
        <v>1</v>
      </c>
      <c r="H41" s="78">
        <f>'[13]Statistical Data'!$H$17</f>
        <v>696000</v>
      </c>
      <c r="I41" s="71">
        <f>'[13]Statistical Data'!$I$17</f>
        <v>2</v>
      </c>
      <c r="J41" s="50">
        <f>'[13]Statistical Data'!$J$17</f>
        <v>675000</v>
      </c>
      <c r="K41" s="87">
        <f>'[13]Statistical Data'!$K$17</f>
        <v>1</v>
      </c>
      <c r="L41" s="78">
        <f>'[13]Statistical Data'!$L$17</f>
        <v>29300</v>
      </c>
      <c r="M41" s="87">
        <f>'[13]Statistical Data'!$M$17</f>
        <v>0</v>
      </c>
      <c r="N41" s="78">
        <f>'[13]Statistical Data'!$N$17</f>
        <v>0</v>
      </c>
      <c r="O41" s="71">
        <f>'[13]Statistical Data'!$O$17</f>
        <v>8</v>
      </c>
      <c r="P41" s="50">
        <f>'[13]Statistical Data'!P17</f>
        <v>2279800</v>
      </c>
    </row>
    <row r="42" spans="2:16" s="15" customFormat="1" ht="12" x14ac:dyDescent="0.2">
      <c r="B42" s="64" t="s">
        <v>36</v>
      </c>
      <c r="C42" s="71">
        <f>'[13]Statistical Data'!$C$18</f>
        <v>9</v>
      </c>
      <c r="D42" s="78">
        <f>'[13]Statistical Data'!$D$18</f>
        <v>2281300</v>
      </c>
      <c r="E42" s="71">
        <f>'[13]Statistical Data'!$E$18</f>
        <v>0</v>
      </c>
      <c r="F42" s="50">
        <f>'[13]Statistical Data'!$F$18</f>
        <v>0</v>
      </c>
      <c r="G42" s="87">
        <f>'[13]Statistical Data'!$G$18</f>
        <v>0</v>
      </c>
      <c r="H42" s="78">
        <f>'[13]Statistical Data'!$H$18</f>
        <v>0</v>
      </c>
      <c r="I42" s="71">
        <f>'[13]Statistical Data'!$I$18</f>
        <v>1</v>
      </c>
      <c r="J42" s="50">
        <f>'[13]Statistical Data'!$J$18</f>
        <v>708400</v>
      </c>
      <c r="K42" s="87">
        <f>'[13]Statistical Data'!$K$18</f>
        <v>1</v>
      </c>
      <c r="L42" s="78">
        <f>'[13]Statistical Data'!$L$18</f>
        <v>377900</v>
      </c>
      <c r="M42" s="87">
        <f>'[13]Statistical Data'!$M$18</f>
        <v>0</v>
      </c>
      <c r="N42" s="78">
        <f>'[13]Statistical Data'!$N$18</f>
        <v>0</v>
      </c>
      <c r="O42" s="71">
        <f>'[13]Statistical Data'!$O$18</f>
        <v>11</v>
      </c>
      <c r="P42" s="50">
        <f>'[13]Statistical Data'!P18</f>
        <v>3367600</v>
      </c>
    </row>
    <row r="43" spans="2:16" ht="12" x14ac:dyDescent="0.2">
      <c r="B43" s="51" t="s">
        <v>24</v>
      </c>
      <c r="C43" s="72">
        <f>'[13]Statistical Data'!C19</f>
        <v>17</v>
      </c>
      <c r="D43" s="79">
        <f>'[13]Statistical Data'!D19</f>
        <v>4619100</v>
      </c>
      <c r="E43" s="72">
        <f>'[13]Statistical Data'!E19</f>
        <v>4</v>
      </c>
      <c r="F43" s="52">
        <f>'[13]Statistical Data'!F19</f>
        <v>1114200</v>
      </c>
      <c r="G43" s="88">
        <f>'[13]Statistical Data'!G19</f>
        <v>3</v>
      </c>
      <c r="H43" s="79">
        <f>'[13]Statistical Data'!H19</f>
        <v>3256200</v>
      </c>
      <c r="I43" s="72">
        <f>'[13]Statistical Data'!$I$19</f>
        <v>6</v>
      </c>
      <c r="J43" s="52">
        <f>'[13]Statistical Data'!J19</f>
        <v>2887400</v>
      </c>
      <c r="K43" s="88">
        <f>'[13]Statistical Data'!K19</f>
        <v>3</v>
      </c>
      <c r="L43" s="79">
        <f>'[13]Statistical Data'!L19</f>
        <v>407200</v>
      </c>
      <c r="M43" s="88">
        <f>'[13]Statistical Data'!M19</f>
        <v>0</v>
      </c>
      <c r="N43" s="79">
        <f>'[13]Statistical Data'!$N$19</f>
        <v>0</v>
      </c>
      <c r="O43" s="72">
        <f>'[13]Statistical Data'!$O$19</f>
        <v>33</v>
      </c>
      <c r="P43" s="52">
        <f>'[13]Statistical Data'!P19</f>
        <v>12284100</v>
      </c>
    </row>
    <row r="44" spans="2:16" s="15" customFormat="1" ht="12" x14ac:dyDescent="0.2">
      <c r="B44" s="64" t="s">
        <v>25</v>
      </c>
      <c r="C44" s="71">
        <f>'[13]Statistical Data'!$C$20</f>
        <v>4</v>
      </c>
      <c r="D44" s="78">
        <f>'[13]Statistical Data'!$D$20</f>
        <v>783800</v>
      </c>
      <c r="E44" s="71">
        <f>'[13]Statistical Data'!$E$20</f>
        <v>0</v>
      </c>
      <c r="F44" s="50">
        <f>'[13]Statistical Data'!$F$20</f>
        <v>0</v>
      </c>
      <c r="G44" s="87">
        <f>'[13]Statistical Data'!$G$20</f>
        <v>0</v>
      </c>
      <c r="H44" s="78">
        <f>'[13]Statistical Data'!$H$20</f>
        <v>0</v>
      </c>
      <c r="I44" s="71">
        <f>'[13]Statistical Data'!$I$20</f>
        <v>1</v>
      </c>
      <c r="J44" s="50">
        <f>'[13]Statistical Data'!$J$20</f>
        <v>85800</v>
      </c>
      <c r="K44" s="87">
        <f>'[13]Statistical Data'!$K$20</f>
        <v>0</v>
      </c>
      <c r="L44" s="78">
        <f>'[13]Statistical Data'!$L$20</f>
        <v>0</v>
      </c>
      <c r="M44" s="87">
        <f>'[13]Statistical Data'!$M$20</f>
        <v>0</v>
      </c>
      <c r="N44" s="78">
        <f>'[13]Statistical Data'!$N$20</f>
        <v>0</v>
      </c>
      <c r="O44" s="71">
        <f>'[13]Statistical Data'!$O$20</f>
        <v>5</v>
      </c>
      <c r="P44" s="50">
        <f>'[13]Statistical Data'!P20</f>
        <v>869600</v>
      </c>
    </row>
    <row r="45" spans="2:16" s="15" customFormat="1" ht="12" x14ac:dyDescent="0.2">
      <c r="B45" s="64" t="s">
        <v>26</v>
      </c>
      <c r="C45" s="71">
        <f>'[13]Statistical Data'!$C$21</f>
        <v>3</v>
      </c>
      <c r="D45" s="78">
        <f>'[13]Statistical Data'!$D$21</f>
        <v>1400900</v>
      </c>
      <c r="E45" s="71">
        <f>'[13]Statistical Data'!$E$21</f>
        <v>2</v>
      </c>
      <c r="F45" s="50">
        <f>'[13]Statistical Data'!$F$21</f>
        <v>1058400</v>
      </c>
      <c r="G45" s="87">
        <f>'[13]Statistical Data'!$G$21</f>
        <v>1</v>
      </c>
      <c r="H45" s="78">
        <f>'[13]Statistical Data'!$H$21</f>
        <v>1763000</v>
      </c>
      <c r="I45" s="71">
        <f>'[13]Statistical Data'!$I$21</f>
        <v>0</v>
      </c>
      <c r="J45" s="50">
        <f>'[13]Statistical Data'!$J$21</f>
        <v>0</v>
      </c>
      <c r="K45" s="87">
        <f>'[13]Statistical Data'!$K$21</f>
        <v>0</v>
      </c>
      <c r="L45" s="78">
        <f>'[13]Statistical Data'!$L$21</f>
        <v>0</v>
      </c>
      <c r="M45" s="87">
        <f>'[13]Statistical Data'!$M$21</f>
        <v>0</v>
      </c>
      <c r="N45" s="78">
        <f>'[13]Statistical Data'!$N$21</f>
        <v>0</v>
      </c>
      <c r="O45" s="71">
        <f>'[13]Statistical Data'!$O$21</f>
        <v>6</v>
      </c>
      <c r="P45" s="50">
        <f>'[13]Statistical Data'!P21</f>
        <v>4222300</v>
      </c>
    </row>
    <row r="46" spans="2:16" s="15" customFormat="1" ht="12" x14ac:dyDescent="0.2">
      <c r="B46" s="64" t="s">
        <v>27</v>
      </c>
      <c r="C46" s="71">
        <f>'[13]Statistical Data'!$C$22</f>
        <v>5</v>
      </c>
      <c r="D46" s="78">
        <f>'[13]Statistical Data'!$D$22</f>
        <v>1492300</v>
      </c>
      <c r="E46" s="71">
        <f>'[13]Statistical Data'!$E$22</f>
        <v>1</v>
      </c>
      <c r="F46" s="50">
        <f>'[13]Statistical Data'!$F$22</f>
        <v>867200</v>
      </c>
      <c r="G46" s="87">
        <f>'[13]Statistical Data'!$G$22</f>
        <v>0</v>
      </c>
      <c r="H46" s="78">
        <f>'[13]Statistical Data'!$H$22</f>
        <v>0</v>
      </c>
      <c r="I46" s="71">
        <f>'[13]Statistical Data'!$I$22</f>
        <v>0</v>
      </c>
      <c r="J46" s="50">
        <f>'[13]Statistical Data'!$J$22</f>
        <v>0</v>
      </c>
      <c r="K46" s="87">
        <f>'[13]Statistical Data'!$K$22</f>
        <v>0</v>
      </c>
      <c r="L46" s="78">
        <f>'[13]Statistical Data'!$L$22</f>
        <v>0</v>
      </c>
      <c r="M46" s="87">
        <f>'[13]Statistical Data'!$M$22</f>
        <v>0</v>
      </c>
      <c r="N46" s="78">
        <f>'[13]Statistical Data'!$N$22</f>
        <v>0</v>
      </c>
      <c r="O46" s="71">
        <f>'[13]Statistical Data'!$O$22</f>
        <v>6</v>
      </c>
      <c r="P46" s="50">
        <f>'[13]Statistical Data'!P22</f>
        <v>2359500</v>
      </c>
    </row>
    <row r="47" spans="2:16" s="9" customFormat="1" ht="12" x14ac:dyDescent="0.2">
      <c r="B47" s="51" t="s">
        <v>28</v>
      </c>
      <c r="C47" s="72">
        <f>'[13]Statistical Data'!C23</f>
        <v>12</v>
      </c>
      <c r="D47" s="79">
        <f>'[13]Statistical Data'!D23</f>
        <v>3677000</v>
      </c>
      <c r="E47" s="72">
        <f>'[13]Statistical Data'!E23</f>
        <v>3</v>
      </c>
      <c r="F47" s="52">
        <f>'[13]Statistical Data'!F23</f>
        <v>1925600</v>
      </c>
      <c r="G47" s="88">
        <f>'[13]Statistical Data'!G23</f>
        <v>1</v>
      </c>
      <c r="H47" s="79">
        <f>'[13]Statistical Data'!H23</f>
        <v>1763000</v>
      </c>
      <c r="I47" s="72">
        <f>'[13]Statistical Data'!I23</f>
        <v>1</v>
      </c>
      <c r="J47" s="52">
        <f>'[13]Statistical Data'!J23</f>
        <v>85800</v>
      </c>
      <c r="K47" s="88">
        <f>'[13]Statistical Data'!K23</f>
        <v>0</v>
      </c>
      <c r="L47" s="79">
        <f>'[13]Statistical Data'!L23</f>
        <v>0</v>
      </c>
      <c r="M47" s="88">
        <f>'[13]Statistical Data'!$M$23</f>
        <v>0</v>
      </c>
      <c r="N47" s="79">
        <f>'[13]Statistical Data'!N23</f>
        <v>0</v>
      </c>
      <c r="O47" s="72">
        <f>'[13]Statistical Data'!$O$23</f>
        <v>17</v>
      </c>
      <c r="P47" s="52">
        <f>'[13]Statistical Data'!P23</f>
        <v>7451400</v>
      </c>
    </row>
    <row r="48" spans="2:16" s="15" customFormat="1" ht="12" x14ac:dyDescent="0.2">
      <c r="B48" s="45" t="s">
        <v>35</v>
      </c>
      <c r="C48" s="73">
        <f t="shared" ref="C48:N48" si="6">+C35+C39+C43+C47</f>
        <v>51</v>
      </c>
      <c r="D48" s="80">
        <f t="shared" si="6"/>
        <v>16694500</v>
      </c>
      <c r="E48" s="73">
        <f t="shared" si="6"/>
        <v>19</v>
      </c>
      <c r="F48" s="53">
        <f t="shared" si="6"/>
        <v>7791813</v>
      </c>
      <c r="G48" s="89">
        <f t="shared" si="6"/>
        <v>7</v>
      </c>
      <c r="H48" s="80">
        <f t="shared" si="6"/>
        <v>6350200</v>
      </c>
      <c r="I48" s="73">
        <f t="shared" si="6"/>
        <v>16</v>
      </c>
      <c r="J48" s="53">
        <f t="shared" si="6"/>
        <v>5130400</v>
      </c>
      <c r="K48" s="89">
        <f t="shared" si="6"/>
        <v>3</v>
      </c>
      <c r="L48" s="80">
        <f t="shared" si="6"/>
        <v>407200</v>
      </c>
      <c r="M48" s="89">
        <f t="shared" si="6"/>
        <v>1</v>
      </c>
      <c r="N48" s="80">
        <f t="shared" si="6"/>
        <v>53500</v>
      </c>
      <c r="O48" s="73">
        <f>+C48+E48+G48+I48+K48+M48</f>
        <v>97</v>
      </c>
      <c r="P48" s="53">
        <f>P35+P39+P43+P47</f>
        <v>36427613</v>
      </c>
    </row>
    <row r="49" spans="2:16" s="15" customFormat="1" x14ac:dyDescent="0.2">
      <c r="B49" s="54"/>
      <c r="C49" s="54"/>
      <c r="D49" s="54"/>
      <c r="E49" s="54"/>
      <c r="F49" s="54"/>
      <c r="G49" s="68"/>
      <c r="H49" s="54"/>
      <c r="I49" s="68"/>
      <c r="J49" s="54"/>
      <c r="K49" s="68"/>
      <c r="L49" s="54"/>
      <c r="M49" s="68"/>
      <c r="N49" s="54"/>
      <c r="O49" s="68"/>
      <c r="P49" s="54"/>
    </row>
    <row r="50" spans="2:16" s="15" customFormat="1" ht="12" x14ac:dyDescent="0.2">
      <c r="B50" s="57" t="s">
        <v>58</v>
      </c>
      <c r="C50" s="70"/>
      <c r="D50" s="82"/>
      <c r="E50" s="70"/>
      <c r="F50" s="74"/>
      <c r="G50" s="91"/>
      <c r="H50" s="82"/>
      <c r="I50" s="70"/>
      <c r="J50" s="74"/>
      <c r="K50" s="91"/>
      <c r="L50" s="82"/>
      <c r="M50" s="91"/>
      <c r="N50" s="82"/>
      <c r="O50" s="70"/>
      <c r="P50" s="74"/>
    </row>
    <row r="51" spans="2:16" s="15" customFormat="1" ht="12" x14ac:dyDescent="0.2">
      <c r="B51" s="64" t="s">
        <v>14</v>
      </c>
      <c r="C51" s="50">
        <f>+IF(C13=0,0,((C32-C13)/C13*100))</f>
        <v>-87.5</v>
      </c>
      <c r="D51" s="78">
        <f t="shared" ref="D51:P51" si="7">+IF(D13=0,0,((D32-D13)/D13*100))</f>
        <v>-93.562949339575312</v>
      </c>
      <c r="E51" s="50">
        <f t="shared" si="7"/>
        <v>-33.333333333333329</v>
      </c>
      <c r="F51" s="50">
        <f t="shared" si="7"/>
        <v>-35.344057193923142</v>
      </c>
      <c r="G51" s="92">
        <f t="shared" si="7"/>
        <v>-100</v>
      </c>
      <c r="H51" s="78">
        <f t="shared" si="7"/>
        <v>-100</v>
      </c>
      <c r="I51" s="50">
        <f t="shared" si="7"/>
        <v>-66.666666666666657</v>
      </c>
      <c r="J51" s="50">
        <f t="shared" si="7"/>
        <v>-93.129032258064512</v>
      </c>
      <c r="K51" s="92">
        <f t="shared" si="7"/>
        <v>-100</v>
      </c>
      <c r="L51" s="78">
        <f t="shared" si="7"/>
        <v>-100</v>
      </c>
      <c r="M51" s="92">
        <f t="shared" si="7"/>
        <v>0</v>
      </c>
      <c r="N51" s="78">
        <f t="shared" si="7"/>
        <v>0</v>
      </c>
      <c r="O51" s="50">
        <f t="shared" si="7"/>
        <v>-75</v>
      </c>
      <c r="P51" s="50">
        <f t="shared" si="7"/>
        <v>-91.493944716649722</v>
      </c>
    </row>
    <row r="52" spans="2:16" s="15" customFormat="1" ht="12" x14ac:dyDescent="0.2">
      <c r="B52" s="64" t="s">
        <v>15</v>
      </c>
      <c r="C52" s="50">
        <f t="shared" ref="C52:P67" si="8">+IF(C14=0,0,((C33-C14)/C14*100))</f>
        <v>-72.727272727272734</v>
      </c>
      <c r="D52" s="78">
        <f t="shared" si="8"/>
        <v>-84.896736776542539</v>
      </c>
      <c r="E52" s="50">
        <f t="shared" si="8"/>
        <v>100</v>
      </c>
      <c r="F52" s="50">
        <f t="shared" si="8"/>
        <v>-32.042520880789674</v>
      </c>
      <c r="G52" s="92">
        <f t="shared" si="8"/>
        <v>0</v>
      </c>
      <c r="H52" s="78">
        <f t="shared" si="8"/>
        <v>0</v>
      </c>
      <c r="I52" s="50">
        <f t="shared" si="8"/>
        <v>100</v>
      </c>
      <c r="J52" s="50">
        <f t="shared" si="8"/>
        <v>340.47619047619048</v>
      </c>
      <c r="K52" s="92">
        <f t="shared" si="8"/>
        <v>0</v>
      </c>
      <c r="L52" s="78">
        <f t="shared" si="8"/>
        <v>0</v>
      </c>
      <c r="M52" s="92">
        <f t="shared" si="8"/>
        <v>-100</v>
      </c>
      <c r="N52" s="78">
        <f t="shared" si="8"/>
        <v>0</v>
      </c>
      <c r="O52" s="50">
        <f t="shared" si="8"/>
        <v>-42.857142857142854</v>
      </c>
      <c r="P52" s="50">
        <f t="shared" si="8"/>
        <v>-65.620311356928539</v>
      </c>
    </row>
    <row r="53" spans="2:16" s="15" customFormat="1" ht="12" x14ac:dyDescent="0.2">
      <c r="B53" s="64" t="s">
        <v>16</v>
      </c>
      <c r="C53" s="50">
        <f t="shared" si="8"/>
        <v>-44.444444444444443</v>
      </c>
      <c r="D53" s="78">
        <f t="shared" si="8"/>
        <v>-45.376141753890785</v>
      </c>
      <c r="E53" s="50">
        <f t="shared" si="8"/>
        <v>0</v>
      </c>
      <c r="F53" s="50">
        <f t="shared" si="8"/>
        <v>0</v>
      </c>
      <c r="G53" s="92">
        <f t="shared" si="8"/>
        <v>0</v>
      </c>
      <c r="H53" s="78">
        <f t="shared" si="8"/>
        <v>0</v>
      </c>
      <c r="I53" s="50">
        <f t="shared" si="8"/>
        <v>100</v>
      </c>
      <c r="J53" s="50">
        <f t="shared" si="8"/>
        <v>485.84807492195631</v>
      </c>
      <c r="K53" s="92">
        <f t="shared" si="8"/>
        <v>-100</v>
      </c>
      <c r="L53" s="78">
        <f t="shared" si="8"/>
        <v>-100</v>
      </c>
      <c r="M53" s="92">
        <f t="shared" si="8"/>
        <v>-100</v>
      </c>
      <c r="N53" s="78">
        <f t="shared" si="8"/>
        <v>-100</v>
      </c>
      <c r="O53" s="50">
        <f t="shared" si="8"/>
        <v>-7.6923076923076925</v>
      </c>
      <c r="P53" s="50">
        <f t="shared" si="8"/>
        <v>59.636703754310631</v>
      </c>
    </row>
    <row r="54" spans="2:16" s="15" customFormat="1" ht="12" x14ac:dyDescent="0.2">
      <c r="B54" s="51" t="s">
        <v>17</v>
      </c>
      <c r="C54" s="67">
        <f t="shared" si="8"/>
        <v>-67.857142857142861</v>
      </c>
      <c r="D54" s="83">
        <f t="shared" si="8"/>
        <v>-76.557288172589011</v>
      </c>
      <c r="E54" s="67">
        <f t="shared" si="8"/>
        <v>100</v>
      </c>
      <c r="F54" s="67">
        <f t="shared" si="8"/>
        <v>82.846440295947872</v>
      </c>
      <c r="G54" s="93">
        <f t="shared" si="8"/>
        <v>100</v>
      </c>
      <c r="H54" s="83">
        <f t="shared" si="8"/>
        <v>-86.042059198930289</v>
      </c>
      <c r="I54" s="67">
        <f t="shared" si="8"/>
        <v>0</v>
      </c>
      <c r="J54" s="67">
        <f t="shared" si="8"/>
        <v>11.575687185443282</v>
      </c>
      <c r="K54" s="93">
        <f t="shared" si="8"/>
        <v>-100</v>
      </c>
      <c r="L54" s="83">
        <f t="shared" si="8"/>
        <v>-100</v>
      </c>
      <c r="M54" s="93">
        <f t="shared" si="8"/>
        <v>-100</v>
      </c>
      <c r="N54" s="83">
        <f t="shared" si="8"/>
        <v>-100</v>
      </c>
      <c r="O54" s="67">
        <f t="shared" si="8"/>
        <v>-44.186046511627907</v>
      </c>
      <c r="P54" s="67">
        <f t="shared" si="8"/>
        <v>-60.237011794421903</v>
      </c>
    </row>
    <row r="55" spans="2:16" s="15" customFormat="1" ht="12" x14ac:dyDescent="0.2">
      <c r="B55" s="64" t="s">
        <v>18</v>
      </c>
      <c r="C55" s="50">
        <f t="shared" si="8"/>
        <v>-62.5</v>
      </c>
      <c r="D55" s="78">
        <f t="shared" si="8"/>
        <v>-51.038873086821077</v>
      </c>
      <c r="E55" s="50">
        <f t="shared" si="8"/>
        <v>0</v>
      </c>
      <c r="F55" s="50">
        <f t="shared" si="8"/>
        <v>0</v>
      </c>
      <c r="G55" s="92">
        <f t="shared" si="8"/>
        <v>0</v>
      </c>
      <c r="H55" s="78">
        <f t="shared" si="8"/>
        <v>6.015424164524422</v>
      </c>
      <c r="I55" s="50">
        <f t="shared" si="8"/>
        <v>0</v>
      </c>
      <c r="J55" s="50">
        <f t="shared" si="8"/>
        <v>0</v>
      </c>
      <c r="K55" s="92">
        <f t="shared" si="8"/>
        <v>0</v>
      </c>
      <c r="L55" s="78">
        <f t="shared" si="8"/>
        <v>0</v>
      </c>
      <c r="M55" s="92">
        <f t="shared" si="8"/>
        <v>-50</v>
      </c>
      <c r="N55" s="78">
        <f t="shared" si="8"/>
        <v>-97.387440179705052</v>
      </c>
      <c r="O55" s="50">
        <f t="shared" si="8"/>
        <v>-45.454545454545453</v>
      </c>
      <c r="P55" s="50">
        <f t="shared" si="8"/>
        <v>-58.862979945498751</v>
      </c>
    </row>
    <row r="56" spans="2:16" s="15" customFormat="1" ht="12" x14ac:dyDescent="0.2">
      <c r="B56" s="64" t="s">
        <v>19</v>
      </c>
      <c r="C56" s="50">
        <f t="shared" si="8"/>
        <v>-12.5</v>
      </c>
      <c r="D56" s="78">
        <f t="shared" si="8"/>
        <v>19.316857544705645</v>
      </c>
      <c r="E56" s="50">
        <f t="shared" si="8"/>
        <v>0</v>
      </c>
      <c r="F56" s="50">
        <f t="shared" si="8"/>
        <v>-59.187977853941476</v>
      </c>
      <c r="G56" s="92">
        <f t="shared" si="8"/>
        <v>0</v>
      </c>
      <c r="H56" s="78">
        <f t="shared" si="8"/>
        <v>0</v>
      </c>
      <c r="I56" s="50">
        <f t="shared" si="8"/>
        <v>0</v>
      </c>
      <c r="J56" s="50">
        <f t="shared" si="8"/>
        <v>0</v>
      </c>
      <c r="K56" s="92">
        <f t="shared" si="8"/>
        <v>0</v>
      </c>
      <c r="L56" s="78">
        <f t="shared" si="8"/>
        <v>0</v>
      </c>
      <c r="M56" s="92">
        <f>+IF(M18=0,0,((M37-M18)/M18*100))</f>
        <v>-100</v>
      </c>
      <c r="N56" s="78">
        <f t="shared" si="8"/>
        <v>-100</v>
      </c>
      <c r="O56" s="50">
        <f t="shared" si="8"/>
        <v>0</v>
      </c>
      <c r="P56" s="50">
        <f t="shared" si="8"/>
        <v>17.244966193625082</v>
      </c>
    </row>
    <row r="57" spans="2:16" s="15" customFormat="1" ht="12" x14ac:dyDescent="0.2">
      <c r="B57" s="64" t="s">
        <v>20</v>
      </c>
      <c r="C57" s="50">
        <f t="shared" si="8"/>
        <v>0</v>
      </c>
      <c r="D57" s="78">
        <f t="shared" si="8"/>
        <v>14.476849067949487</v>
      </c>
      <c r="E57" s="50">
        <f t="shared" si="8"/>
        <v>0</v>
      </c>
      <c r="F57" s="50">
        <f t="shared" si="8"/>
        <v>0</v>
      </c>
      <c r="G57" s="92">
        <f t="shared" si="8"/>
        <v>0</v>
      </c>
      <c r="H57" s="78">
        <f t="shared" si="8"/>
        <v>0</v>
      </c>
      <c r="I57" s="50">
        <f t="shared" si="8"/>
        <v>0</v>
      </c>
      <c r="J57" s="50">
        <f t="shared" si="8"/>
        <v>67.464114832535884</v>
      </c>
      <c r="K57" s="92">
        <f t="shared" si="8"/>
        <v>0</v>
      </c>
      <c r="L57" s="78">
        <f t="shared" si="8"/>
        <v>0</v>
      </c>
      <c r="M57" s="92">
        <f t="shared" si="8"/>
        <v>0</v>
      </c>
      <c r="N57" s="78">
        <f t="shared" si="8"/>
        <v>0</v>
      </c>
      <c r="O57" s="50">
        <f t="shared" si="8"/>
        <v>25</v>
      </c>
      <c r="P57" s="50">
        <f t="shared" si="8"/>
        <v>30.032525639229966</v>
      </c>
    </row>
    <row r="58" spans="2:16" s="15" customFormat="1" ht="12" x14ac:dyDescent="0.2">
      <c r="B58" s="51" t="s">
        <v>21</v>
      </c>
      <c r="C58" s="67">
        <f t="shared" si="8"/>
        <v>-31.578947368421051</v>
      </c>
      <c r="D58" s="83">
        <f t="shared" si="8"/>
        <v>-16.673444158886106</v>
      </c>
      <c r="E58" s="67">
        <f t="shared" si="8"/>
        <v>100</v>
      </c>
      <c r="F58" s="67">
        <f t="shared" si="8"/>
        <v>-32.751120485104138</v>
      </c>
      <c r="G58" s="93">
        <f t="shared" si="8"/>
        <v>0</v>
      </c>
      <c r="H58" s="83">
        <f t="shared" si="8"/>
        <v>6.015424164524422</v>
      </c>
      <c r="I58" s="67">
        <f t="shared" si="8"/>
        <v>300</v>
      </c>
      <c r="J58" s="67">
        <f t="shared" si="8"/>
        <v>1372.5449988607884</v>
      </c>
      <c r="K58" s="93">
        <f t="shared" si="8"/>
        <v>0</v>
      </c>
      <c r="L58" s="83">
        <f t="shared" si="8"/>
        <v>0</v>
      </c>
      <c r="M58" s="93">
        <f t="shared" si="8"/>
        <v>-75</v>
      </c>
      <c r="N58" s="83">
        <f t="shared" si="8"/>
        <v>-97.427637272814692</v>
      </c>
      <c r="O58" s="67">
        <f t="shared" si="8"/>
        <v>-14.814814814814813</v>
      </c>
      <c r="P58" s="67">
        <f t="shared" si="8"/>
        <v>-22.050555665200147</v>
      </c>
    </row>
    <row r="59" spans="2:16" s="15" customFormat="1" ht="12" x14ac:dyDescent="0.2">
      <c r="B59" s="64" t="s">
        <v>22</v>
      </c>
      <c r="C59" s="50">
        <f t="shared" si="8"/>
        <v>-50</v>
      </c>
      <c r="D59" s="78">
        <f t="shared" si="8"/>
        <v>-22.095197393023131</v>
      </c>
      <c r="E59" s="50">
        <f t="shared" si="8"/>
        <v>33.333333333333329</v>
      </c>
      <c r="F59" s="50">
        <f t="shared" si="8"/>
        <v>-34.589644240929907</v>
      </c>
      <c r="G59" s="92">
        <f t="shared" si="8"/>
        <v>0</v>
      </c>
      <c r="H59" s="78">
        <f t="shared" si="8"/>
        <v>0</v>
      </c>
      <c r="I59" s="50">
        <f t="shared" si="8"/>
        <v>200</v>
      </c>
      <c r="J59" s="50">
        <f t="shared" si="8"/>
        <v>5775</v>
      </c>
      <c r="K59" s="92">
        <f t="shared" si="8"/>
        <v>0</v>
      </c>
      <c r="L59" s="78">
        <f t="shared" si="8"/>
        <v>0</v>
      </c>
      <c r="M59" s="92">
        <f t="shared" si="8"/>
        <v>0</v>
      </c>
      <c r="N59" s="78">
        <f t="shared" si="8"/>
        <v>0</v>
      </c>
      <c r="O59" s="50">
        <f t="shared" si="8"/>
        <v>16.666666666666664</v>
      </c>
      <c r="P59" s="50">
        <f t="shared" si="8"/>
        <v>84.30670110250216</v>
      </c>
    </row>
    <row r="60" spans="2:16" s="15" customFormat="1" ht="12" x14ac:dyDescent="0.2">
      <c r="B60" s="64" t="s">
        <v>23</v>
      </c>
      <c r="C60" s="50">
        <f t="shared" si="8"/>
        <v>33.333333333333329</v>
      </c>
      <c r="D60" s="78">
        <f t="shared" si="8"/>
        <v>123.16670895711748</v>
      </c>
      <c r="E60" s="50">
        <f t="shared" si="8"/>
        <v>-100</v>
      </c>
      <c r="F60" s="50">
        <f t="shared" si="8"/>
        <v>-100</v>
      </c>
      <c r="G60" s="92">
        <f t="shared" si="8"/>
        <v>0</v>
      </c>
      <c r="H60" s="78">
        <f t="shared" si="8"/>
        <v>0</v>
      </c>
      <c r="I60" s="50">
        <f t="shared" si="8"/>
        <v>-50</v>
      </c>
      <c r="J60" s="50">
        <f t="shared" si="8"/>
        <v>99.940758293838854</v>
      </c>
      <c r="K60" s="92">
        <f t="shared" si="8"/>
        <v>0</v>
      </c>
      <c r="L60" s="78">
        <f t="shared" si="8"/>
        <v>0</v>
      </c>
      <c r="M60" s="92">
        <f t="shared" si="8"/>
        <v>0</v>
      </c>
      <c r="N60" s="78">
        <f t="shared" si="8"/>
        <v>0</v>
      </c>
      <c r="O60" s="50">
        <f t="shared" si="8"/>
        <v>0</v>
      </c>
      <c r="P60" s="50">
        <f t="shared" si="8"/>
        <v>169.47990543735224</v>
      </c>
    </row>
    <row r="61" spans="2:16" s="15" customFormat="1" ht="12" x14ac:dyDescent="0.2">
      <c r="B61" s="64" t="s">
        <v>36</v>
      </c>
      <c r="C61" s="50">
        <f t="shared" si="8"/>
        <v>50</v>
      </c>
      <c r="D61" s="78">
        <f t="shared" si="8"/>
        <v>218.66182427713369</v>
      </c>
      <c r="E61" s="50">
        <f t="shared" si="8"/>
        <v>-100</v>
      </c>
      <c r="F61" s="50">
        <f t="shared" si="8"/>
        <v>-100</v>
      </c>
      <c r="G61" s="92">
        <f t="shared" si="8"/>
        <v>0</v>
      </c>
      <c r="H61" s="78">
        <f t="shared" si="8"/>
        <v>0</v>
      </c>
      <c r="I61" s="50">
        <f t="shared" si="8"/>
        <v>-66.666666666666657</v>
      </c>
      <c r="J61" s="50">
        <f t="shared" si="8"/>
        <v>-86.951075744179192</v>
      </c>
      <c r="K61" s="92">
        <f t="shared" si="8"/>
        <v>-50</v>
      </c>
      <c r="L61" s="78">
        <f t="shared" si="8"/>
        <v>0</v>
      </c>
      <c r="M61" s="92">
        <f t="shared" si="8"/>
        <v>0</v>
      </c>
      <c r="N61" s="78">
        <f t="shared" si="8"/>
        <v>0</v>
      </c>
      <c r="O61" s="50">
        <f t="shared" si="8"/>
        <v>-8.3333333333333321</v>
      </c>
      <c r="P61" s="50">
        <f t="shared" si="8"/>
        <v>-48.196348085590785</v>
      </c>
    </row>
    <row r="62" spans="2:16" s="15" customFormat="1" ht="12" x14ac:dyDescent="0.2">
      <c r="B62" s="51" t="s">
        <v>24</v>
      </c>
      <c r="C62" s="67">
        <f t="shared" si="8"/>
        <v>0</v>
      </c>
      <c r="D62" s="83">
        <f t="shared" si="8"/>
        <v>54.904591032563133</v>
      </c>
      <c r="E62" s="67">
        <f t="shared" si="8"/>
        <v>-20</v>
      </c>
      <c r="F62" s="67">
        <f t="shared" si="8"/>
        <v>-48.741776694116027</v>
      </c>
      <c r="G62" s="93">
        <f t="shared" si="8"/>
        <v>0</v>
      </c>
      <c r="H62" s="83">
        <f t="shared" si="8"/>
        <v>0</v>
      </c>
      <c r="I62" s="67">
        <f t="shared" si="8"/>
        <v>-25</v>
      </c>
      <c r="J62" s="67">
        <f t="shared" si="8"/>
        <v>-50.148480662983431</v>
      </c>
      <c r="K62" s="93">
        <f t="shared" si="8"/>
        <v>50</v>
      </c>
      <c r="L62" s="83">
        <f t="shared" si="8"/>
        <v>0</v>
      </c>
      <c r="M62" s="93">
        <f t="shared" si="8"/>
        <v>0</v>
      </c>
      <c r="N62" s="83">
        <f t="shared" si="8"/>
        <v>0</v>
      </c>
      <c r="O62" s="67">
        <f t="shared" si="8"/>
        <v>3.125</v>
      </c>
      <c r="P62" s="67">
        <f t="shared" si="8"/>
        <v>12.208155212101282</v>
      </c>
    </row>
    <row r="63" spans="2:16" s="15" customFormat="1" ht="12" x14ac:dyDescent="0.2">
      <c r="B63" s="64" t="s">
        <v>25</v>
      </c>
      <c r="C63" s="50">
        <f t="shared" si="8"/>
        <v>-20</v>
      </c>
      <c r="D63" s="78">
        <f t="shared" si="8"/>
        <v>-44.509734513274338</v>
      </c>
      <c r="E63" s="50">
        <f t="shared" si="8"/>
        <v>0</v>
      </c>
      <c r="F63" s="50">
        <f t="shared" si="8"/>
        <v>0</v>
      </c>
      <c r="G63" s="92">
        <f t="shared" si="8"/>
        <v>0</v>
      </c>
      <c r="H63" s="78">
        <f t="shared" si="8"/>
        <v>0</v>
      </c>
      <c r="I63" s="50">
        <f t="shared" si="8"/>
        <v>-50</v>
      </c>
      <c r="J63" s="50">
        <f t="shared" si="8"/>
        <v>-78.53390042531899</v>
      </c>
      <c r="K63" s="92">
        <f t="shared" si="8"/>
        <v>0</v>
      </c>
      <c r="L63" s="78">
        <f t="shared" si="8"/>
        <v>0</v>
      </c>
      <c r="M63" s="92">
        <f t="shared" si="8"/>
        <v>-100</v>
      </c>
      <c r="N63" s="78">
        <f t="shared" si="8"/>
        <v>0</v>
      </c>
      <c r="O63" s="50">
        <f t="shared" si="8"/>
        <v>-37.5</v>
      </c>
      <c r="P63" s="50">
        <f t="shared" si="8"/>
        <v>-52.014126476106391</v>
      </c>
    </row>
    <row r="64" spans="2:16" s="15" customFormat="1" ht="12" x14ac:dyDescent="0.2">
      <c r="B64" s="64" t="s">
        <v>26</v>
      </c>
      <c r="C64" s="50">
        <f t="shared" si="8"/>
        <v>-62.5</v>
      </c>
      <c r="D64" s="78">
        <f t="shared" si="8"/>
        <v>-21.920633151265186</v>
      </c>
      <c r="E64" s="50">
        <f t="shared" si="8"/>
        <v>0</v>
      </c>
      <c r="F64" s="50">
        <f t="shared" si="8"/>
        <v>0</v>
      </c>
      <c r="G64" s="92">
        <f t="shared" si="8"/>
        <v>0</v>
      </c>
      <c r="H64" s="78">
        <f t="shared" si="8"/>
        <v>-21.153846153846153</v>
      </c>
      <c r="I64" s="50">
        <f t="shared" si="8"/>
        <v>-100</v>
      </c>
      <c r="J64" s="50">
        <f t="shared" si="8"/>
        <v>-100</v>
      </c>
      <c r="K64" s="92">
        <f t="shared" si="8"/>
        <v>0</v>
      </c>
      <c r="L64" s="78">
        <f t="shared" si="8"/>
        <v>0</v>
      </c>
      <c r="M64" s="92">
        <f t="shared" si="8"/>
        <v>0</v>
      </c>
      <c r="N64" s="78">
        <f t="shared" si="8"/>
        <v>0</v>
      </c>
      <c r="O64" s="50">
        <f t="shared" si="8"/>
        <v>-40</v>
      </c>
      <c r="P64" s="50">
        <f t="shared" si="8"/>
        <v>3.4218390241512764</v>
      </c>
    </row>
    <row r="65" spans="1:18" s="15" customFormat="1" ht="12" x14ac:dyDescent="0.2">
      <c r="B65" s="64" t="s">
        <v>27</v>
      </c>
      <c r="C65" s="50">
        <f t="shared" si="8"/>
        <v>66.666666666666657</v>
      </c>
      <c r="D65" s="78">
        <f t="shared" si="8"/>
        <v>126.07180730192395</v>
      </c>
      <c r="E65" s="50">
        <f t="shared" si="8"/>
        <v>0</v>
      </c>
      <c r="F65" s="50">
        <f t="shared" si="8"/>
        <v>0</v>
      </c>
      <c r="G65" s="92">
        <f t="shared" si="8"/>
        <v>-100</v>
      </c>
      <c r="H65" s="78">
        <f t="shared" si="8"/>
        <v>-100</v>
      </c>
      <c r="I65" s="50">
        <f t="shared" si="8"/>
        <v>-100</v>
      </c>
      <c r="J65" s="50">
        <f t="shared" si="8"/>
        <v>0</v>
      </c>
      <c r="K65" s="92">
        <f t="shared" si="8"/>
        <v>0</v>
      </c>
      <c r="L65" s="78">
        <f t="shared" si="8"/>
        <v>0</v>
      </c>
      <c r="M65" s="92">
        <f t="shared" si="8"/>
        <v>0</v>
      </c>
      <c r="N65" s="78">
        <f>+IF(N27=0,0,((N46-N27)/N27*100))</f>
        <v>0</v>
      </c>
      <c r="O65" s="50">
        <f t="shared" si="8"/>
        <v>20</v>
      </c>
      <c r="P65" s="50">
        <f t="shared" si="8"/>
        <v>82.271147161066054</v>
      </c>
    </row>
    <row r="66" spans="1:18" s="15" customFormat="1" ht="12" x14ac:dyDescent="0.2">
      <c r="B66" s="51" t="s">
        <v>28</v>
      </c>
      <c r="C66" s="67">
        <f t="shared" si="8"/>
        <v>-25</v>
      </c>
      <c r="D66" s="83">
        <f t="shared" si="8"/>
        <v>-4.9084514327092172</v>
      </c>
      <c r="E66" s="67">
        <f t="shared" si="8"/>
        <v>0</v>
      </c>
      <c r="F66" s="67">
        <f t="shared" si="8"/>
        <v>0</v>
      </c>
      <c r="G66" s="93">
        <f t="shared" si="8"/>
        <v>-50</v>
      </c>
      <c r="H66" s="83">
        <f t="shared" si="8"/>
        <v>-38.579988851727983</v>
      </c>
      <c r="I66" s="67">
        <f t="shared" si="8"/>
        <v>-75</v>
      </c>
      <c r="J66" s="67">
        <f t="shared" si="8"/>
        <v>-81.021897810218974</v>
      </c>
      <c r="K66" s="93">
        <f t="shared" si="8"/>
        <v>0</v>
      </c>
      <c r="L66" s="83">
        <f t="shared" si="8"/>
        <v>0</v>
      </c>
      <c r="M66" s="93">
        <f t="shared" si="8"/>
        <v>-100</v>
      </c>
      <c r="N66" s="83">
        <f>+IF(N28=0,0,((N47-N28)/N28*100))</f>
        <v>0</v>
      </c>
      <c r="O66" s="67">
        <f t="shared" si="8"/>
        <v>-26.086956521739129</v>
      </c>
      <c r="P66" s="67">
        <f t="shared" si="8"/>
        <v>3.6456956866454315</v>
      </c>
    </row>
    <row r="67" spans="1:18" s="15" customFormat="1" ht="12.75" thickBot="1" x14ac:dyDescent="0.25">
      <c r="B67" s="65" t="s">
        <v>35</v>
      </c>
      <c r="C67" s="66">
        <f t="shared" si="8"/>
        <v>-36.25</v>
      </c>
      <c r="D67" s="84">
        <f t="shared" si="8"/>
        <v>-29.939285610269128</v>
      </c>
      <c r="E67" s="66">
        <f t="shared" si="8"/>
        <v>72.727272727272734</v>
      </c>
      <c r="F67" s="66">
        <f t="shared" si="8"/>
        <v>35.940071181827697</v>
      </c>
      <c r="G67" s="94">
        <f t="shared" si="8"/>
        <v>75</v>
      </c>
      <c r="H67" s="84">
        <f t="shared" si="8"/>
        <v>-35.469381948255183</v>
      </c>
      <c r="I67" s="66">
        <f t="shared" si="8"/>
        <v>-11.111111111111111</v>
      </c>
      <c r="J67" s="66">
        <f t="shared" si="8"/>
        <v>-27.809781645133242</v>
      </c>
      <c r="K67" s="94">
        <f>+IF(K29=0,0,((K48-K29)/K29*100))</f>
        <v>-40</v>
      </c>
      <c r="L67" s="84">
        <f t="shared" si="8"/>
        <v>67.43421052631578</v>
      </c>
      <c r="M67" s="94">
        <f t="shared" si="8"/>
        <v>-85.714285714285708</v>
      </c>
      <c r="N67" s="84">
        <f t="shared" si="8"/>
        <v>-97.740518624883848</v>
      </c>
      <c r="O67" s="66">
        <f t="shared" si="8"/>
        <v>-22.400000000000002</v>
      </c>
      <c r="P67" s="66">
        <f t="shared" si="8"/>
        <v>-25.837735280085639</v>
      </c>
    </row>
    <row r="68" spans="1:18" s="15" customFormat="1" ht="14.25" x14ac:dyDescent="0.3">
      <c r="B68" s="16"/>
      <c r="C68" s="17"/>
      <c r="D68" s="18"/>
      <c r="E68" s="17"/>
      <c r="F68" s="18"/>
      <c r="G68" s="17"/>
      <c r="H68" s="18"/>
      <c r="I68" s="17"/>
      <c r="J68" s="18"/>
      <c r="K68" s="17"/>
      <c r="L68" s="18"/>
      <c r="M68" s="19"/>
      <c r="N68" s="18"/>
      <c r="O68" s="18"/>
      <c r="P68" s="18"/>
    </row>
    <row r="69" spans="1:18" customFormat="1" ht="12.75" x14ac:dyDescent="0.2">
      <c r="A69" s="4"/>
      <c r="B69" s="36" t="s">
        <v>47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</row>
    <row r="70" spans="1:18" s="23" customFormat="1" ht="15.75" x14ac:dyDescent="0.25">
      <c r="B70" s="38"/>
      <c r="C70" s="38"/>
      <c r="D70" s="38"/>
      <c r="E70" s="38"/>
      <c r="F70" s="38"/>
      <c r="G70" s="38"/>
      <c r="H70" s="2"/>
      <c r="I70" s="2"/>
      <c r="J70" s="2"/>
    </row>
    <row r="71" spans="1:18" s="23" customFormat="1" ht="12.75" x14ac:dyDescent="0.2">
      <c r="A71" s="62"/>
      <c r="B71" s="36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</row>
    <row r="72" spans="1:18" ht="12.75" x14ac:dyDescent="0.2">
      <c r="E72" s="11"/>
      <c r="F72"/>
      <c r="G72"/>
      <c r="H72"/>
      <c r="I72"/>
      <c r="J72"/>
      <c r="K72"/>
      <c r="L72"/>
      <c r="M72"/>
      <c r="N72"/>
      <c r="O72"/>
      <c r="P72"/>
      <c r="Q72"/>
      <c r="R72"/>
    </row>
  </sheetData>
  <mergeCells count="8">
    <mergeCell ref="C9:P9"/>
    <mergeCell ref="O10:P10"/>
    <mergeCell ref="C10:D10"/>
    <mergeCell ref="E10:F10"/>
    <mergeCell ref="G10:H10"/>
    <mergeCell ref="I10:J10"/>
    <mergeCell ref="K10:L10"/>
    <mergeCell ref="M10:N10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Table of Contents</vt:lpstr>
      <vt:lpstr>Data notes</vt:lpstr>
      <vt:lpstr>Table 2.4.3-B1</vt:lpstr>
      <vt:lpstr>Table 2.4.3-B2</vt:lpstr>
      <vt:lpstr>Table 2.4.3-B3</vt:lpstr>
      <vt:lpstr>Table 2.4.3-B4</vt:lpstr>
      <vt:lpstr>Table 2.4.3-B5</vt:lpstr>
      <vt:lpstr>Table 2.4.3-B6</vt:lpstr>
      <vt:lpstr>Table 2.4.3-B7</vt:lpstr>
      <vt:lpstr>Table 2.4.3-B8</vt:lpstr>
      <vt:lpstr>Table 2.4.3-B9</vt:lpstr>
      <vt:lpstr>Table 2.4.3-E1</vt:lpstr>
      <vt:lpstr>Table 2.4.3-C1</vt:lpstr>
      <vt:lpstr>Table 2.4.3-C2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Careme C. Carty</dc:creator>
  <cp:lastModifiedBy>Careme C. Carty</cp:lastModifiedBy>
  <cp:lastPrinted>2019-02-20T12:22:40Z</cp:lastPrinted>
  <dcterms:created xsi:type="dcterms:W3CDTF">2017-02-19T21:20:46Z</dcterms:created>
  <dcterms:modified xsi:type="dcterms:W3CDTF">2024-01-19T11:06:07Z</dcterms:modified>
</cp:coreProperties>
</file>